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0"/>
  <workbookPr/>
  <mc:AlternateContent xmlns:mc="http://schemas.openxmlformats.org/markup-compatibility/2006">
    <mc:Choice Requires="x15">
      <x15ac:absPath xmlns:x15ac="http://schemas.microsoft.com/office/spreadsheetml/2010/11/ac" url="/Users/curtish/Box Sync/ictvonline/taxonomy/ICTV_update/2018_updates/2018b_MSL34/load_msl_protocol.2018b-Riboviria/"/>
    </mc:Choice>
  </mc:AlternateContent>
  <xr:revisionPtr revIDLastSave="0" documentId="13_ncr:1_{7BE0D8A4-3F98-664D-92C7-D65659D2ACFF}" xr6:coauthVersionLast="36" xr6:coauthVersionMax="36" xr10:uidLastSave="{00000000-0000-0000-0000-000000000000}"/>
  <bookViews>
    <workbookView xWindow="0" yWindow="-21140" windowWidth="38400" windowHeight="21140" xr2:uid="{00000000-000D-0000-FFFF-FFFF00000000}"/>
  </bookViews>
  <sheets>
    <sheet name="Version" sheetId="2" r:id="rId1"/>
    <sheet name="Column Definitions" sheetId="3" r:id="rId2"/>
    <sheet name="ICTV2018 M Species List 34b" sheetId="1" r:id="rId3"/>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_xlnm.Print_Titles" localSheetId="2">'ICTV2018 M Species List 34b'!$1:$1</definedName>
  </definedNames>
  <calcPr calcId="181029"/>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W2" i="1" l="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W1000" i="1"/>
  <c r="W1001" i="1"/>
  <c r="W1002" i="1"/>
  <c r="W1003" i="1"/>
  <c r="W1004" i="1"/>
  <c r="W1005" i="1"/>
  <c r="W1006" i="1"/>
  <c r="W1007" i="1"/>
  <c r="W1008" i="1"/>
  <c r="W1009" i="1"/>
  <c r="W1010" i="1"/>
  <c r="W1011" i="1"/>
  <c r="W1012" i="1"/>
  <c r="W1013" i="1"/>
  <c r="W1014" i="1"/>
  <c r="W1015" i="1"/>
  <c r="W1016" i="1"/>
  <c r="W1017" i="1"/>
  <c r="W1018" i="1"/>
  <c r="W1019" i="1"/>
  <c r="W1020" i="1"/>
  <c r="W1021" i="1"/>
  <c r="W1022" i="1"/>
  <c r="W1023" i="1"/>
  <c r="W1024" i="1"/>
  <c r="W1025" i="1"/>
  <c r="W1026" i="1"/>
  <c r="W1027" i="1"/>
  <c r="W1028" i="1"/>
  <c r="W1029" i="1"/>
  <c r="W1030" i="1"/>
  <c r="W1031" i="1"/>
  <c r="W1032" i="1"/>
  <c r="W1033" i="1"/>
  <c r="W1034" i="1"/>
  <c r="W1035" i="1"/>
  <c r="W1036" i="1"/>
  <c r="W1037" i="1"/>
  <c r="W1038" i="1"/>
  <c r="W1039" i="1"/>
  <c r="W1040" i="1"/>
  <c r="W1041" i="1"/>
  <c r="W1042" i="1"/>
  <c r="W1043" i="1"/>
  <c r="W1044" i="1"/>
  <c r="W1045" i="1"/>
  <c r="W1046" i="1"/>
  <c r="W1047" i="1"/>
  <c r="W1048" i="1"/>
  <c r="W1049" i="1"/>
  <c r="W1050" i="1"/>
  <c r="W1051" i="1"/>
  <c r="W1052" i="1"/>
  <c r="W1053" i="1"/>
  <c r="W1054" i="1"/>
  <c r="W1055" i="1"/>
  <c r="W1056" i="1"/>
  <c r="W1057" i="1"/>
  <c r="W1058" i="1"/>
  <c r="W1059" i="1"/>
  <c r="W1060" i="1"/>
  <c r="W1061" i="1"/>
  <c r="W1062" i="1"/>
  <c r="W1063" i="1"/>
  <c r="W1064" i="1"/>
  <c r="W1065" i="1"/>
  <c r="W1066" i="1"/>
  <c r="W1067" i="1"/>
  <c r="W1068" i="1"/>
  <c r="W1069" i="1"/>
  <c r="W1070" i="1"/>
  <c r="W1071" i="1"/>
  <c r="W1072" i="1"/>
  <c r="W1073" i="1"/>
  <c r="W1074" i="1"/>
  <c r="W1075" i="1"/>
  <c r="W1076" i="1"/>
  <c r="W1077" i="1"/>
  <c r="W1078" i="1"/>
  <c r="W1079" i="1"/>
  <c r="W1080" i="1"/>
  <c r="W1081" i="1"/>
  <c r="W1082" i="1"/>
  <c r="W1083" i="1"/>
  <c r="W1084" i="1"/>
  <c r="W1085" i="1"/>
  <c r="W1086" i="1"/>
  <c r="W1087" i="1"/>
  <c r="W1088" i="1"/>
  <c r="W1089" i="1"/>
  <c r="W1090" i="1"/>
  <c r="W1091" i="1"/>
  <c r="W1092" i="1"/>
  <c r="W1093" i="1"/>
  <c r="W1094" i="1"/>
  <c r="W1095" i="1"/>
  <c r="W1096" i="1"/>
  <c r="W1097" i="1"/>
  <c r="W1098" i="1"/>
  <c r="W1099" i="1"/>
  <c r="W1100" i="1"/>
  <c r="W1101" i="1"/>
  <c r="W1102" i="1"/>
  <c r="W1103" i="1"/>
  <c r="W1104" i="1"/>
  <c r="W1105" i="1"/>
  <c r="W1106" i="1"/>
  <c r="W1107" i="1"/>
  <c r="W1108" i="1"/>
  <c r="W1109" i="1"/>
  <c r="W1110" i="1"/>
  <c r="W1111" i="1"/>
  <c r="W1112" i="1"/>
  <c r="W1113" i="1"/>
  <c r="W1114" i="1"/>
  <c r="W1115" i="1"/>
  <c r="W1116" i="1"/>
  <c r="W1117" i="1"/>
  <c r="W1118" i="1"/>
  <c r="W1119" i="1"/>
  <c r="W1120" i="1"/>
  <c r="W1121" i="1"/>
  <c r="W1122" i="1"/>
  <c r="W1123" i="1"/>
  <c r="W1124" i="1"/>
  <c r="W1125" i="1"/>
  <c r="W1126" i="1"/>
  <c r="W1127" i="1"/>
  <c r="W1128" i="1"/>
  <c r="W1129" i="1"/>
  <c r="W1130" i="1"/>
  <c r="W1131" i="1"/>
  <c r="W1132" i="1"/>
  <c r="W1133" i="1"/>
  <c r="W1134" i="1"/>
  <c r="W1135" i="1"/>
  <c r="W1136" i="1"/>
  <c r="W1137" i="1"/>
  <c r="W1138" i="1"/>
  <c r="W1139" i="1"/>
  <c r="W1140" i="1"/>
  <c r="W1141" i="1"/>
  <c r="W1142" i="1"/>
  <c r="W1143" i="1"/>
  <c r="W1144" i="1"/>
  <c r="W1145" i="1"/>
  <c r="W1146" i="1"/>
  <c r="W1147" i="1"/>
  <c r="W1148" i="1"/>
  <c r="W1149" i="1"/>
  <c r="W1150" i="1"/>
  <c r="W1151" i="1"/>
  <c r="W1152" i="1"/>
  <c r="W1153" i="1"/>
  <c r="W1154" i="1"/>
  <c r="W1155" i="1"/>
  <c r="W1156" i="1"/>
  <c r="W1157" i="1"/>
  <c r="W1158" i="1"/>
  <c r="W1159" i="1"/>
  <c r="W1160" i="1"/>
  <c r="W1161" i="1"/>
  <c r="W1162" i="1"/>
  <c r="W1163" i="1"/>
  <c r="W1164" i="1"/>
  <c r="W1165" i="1"/>
  <c r="W1166" i="1"/>
  <c r="W1167" i="1"/>
  <c r="W1168" i="1"/>
  <c r="W1169" i="1"/>
  <c r="W1170" i="1"/>
  <c r="W1171" i="1"/>
  <c r="W1172" i="1"/>
  <c r="W1173" i="1"/>
  <c r="W1174" i="1"/>
  <c r="W1175" i="1"/>
  <c r="W1176" i="1"/>
  <c r="W1177" i="1"/>
  <c r="W1178" i="1"/>
  <c r="W1179" i="1"/>
  <c r="W1180" i="1"/>
  <c r="W1181" i="1"/>
  <c r="W1182" i="1"/>
  <c r="W1183" i="1"/>
  <c r="W1184" i="1"/>
  <c r="W1185" i="1"/>
  <c r="W1186" i="1"/>
  <c r="W1187" i="1"/>
  <c r="W1188" i="1"/>
  <c r="W1189" i="1"/>
  <c r="W1190" i="1"/>
  <c r="W1191" i="1"/>
  <c r="W1192" i="1"/>
  <c r="W1193" i="1"/>
  <c r="W1194" i="1"/>
  <c r="W1195" i="1"/>
  <c r="W1196" i="1"/>
  <c r="W1197" i="1"/>
  <c r="W1198" i="1"/>
  <c r="W1199" i="1"/>
  <c r="W1200" i="1"/>
  <c r="W1201" i="1"/>
  <c r="W1202" i="1"/>
  <c r="W1203" i="1"/>
  <c r="W1204" i="1"/>
  <c r="W1205" i="1"/>
  <c r="W1206" i="1"/>
  <c r="W1207" i="1"/>
  <c r="W1208" i="1"/>
  <c r="W1209" i="1"/>
  <c r="W1210" i="1"/>
  <c r="W1211" i="1"/>
  <c r="W1212" i="1"/>
  <c r="W1213" i="1"/>
  <c r="W1214" i="1"/>
  <c r="W1215" i="1"/>
  <c r="W1216" i="1"/>
  <c r="W1217" i="1"/>
  <c r="W1218" i="1"/>
  <c r="W1219" i="1"/>
  <c r="W1220" i="1"/>
  <c r="W1221" i="1"/>
  <c r="W1222" i="1"/>
  <c r="W1223" i="1"/>
  <c r="W1224" i="1"/>
  <c r="W1225" i="1"/>
  <c r="W1226" i="1"/>
  <c r="W1227" i="1"/>
  <c r="W1228" i="1"/>
  <c r="W1229" i="1"/>
  <c r="W1230" i="1"/>
  <c r="W1231" i="1"/>
  <c r="W1232" i="1"/>
  <c r="W1233" i="1"/>
  <c r="W1234" i="1"/>
  <c r="W1235" i="1"/>
  <c r="W1236" i="1"/>
  <c r="W1237" i="1"/>
  <c r="W1238" i="1"/>
  <c r="W1239" i="1"/>
  <c r="W1240" i="1"/>
  <c r="W1241" i="1"/>
  <c r="W1242" i="1"/>
  <c r="W1243" i="1"/>
  <c r="W1244" i="1"/>
  <c r="W1245" i="1"/>
  <c r="W1246" i="1"/>
  <c r="W1247" i="1"/>
  <c r="W1248" i="1"/>
  <c r="W1249" i="1"/>
  <c r="W1250" i="1"/>
  <c r="W1251" i="1"/>
  <c r="W1252" i="1"/>
  <c r="W1253" i="1"/>
  <c r="W1254" i="1"/>
  <c r="W1255" i="1"/>
  <c r="W1256" i="1"/>
  <c r="W1257" i="1"/>
  <c r="W1258" i="1"/>
  <c r="W1259" i="1"/>
  <c r="W1260" i="1"/>
  <c r="W1261" i="1"/>
  <c r="W1262" i="1"/>
  <c r="W1263" i="1"/>
  <c r="W1264" i="1"/>
  <c r="W1265" i="1"/>
  <c r="W1266" i="1"/>
  <c r="W1267" i="1"/>
  <c r="W1268" i="1"/>
  <c r="W1269" i="1"/>
  <c r="W1270" i="1"/>
  <c r="W1271" i="1"/>
  <c r="W1272" i="1"/>
  <c r="W1273" i="1"/>
  <c r="W1274" i="1"/>
  <c r="W1275" i="1"/>
  <c r="W1276" i="1"/>
  <c r="W1277" i="1"/>
  <c r="W1278" i="1"/>
  <c r="W1279" i="1"/>
  <c r="W1280" i="1"/>
  <c r="W1281" i="1"/>
  <c r="W1282" i="1"/>
  <c r="W1283" i="1"/>
  <c r="W1284" i="1"/>
  <c r="W1285" i="1"/>
  <c r="W1286" i="1"/>
  <c r="W1287" i="1"/>
  <c r="W1288" i="1"/>
  <c r="W1289" i="1"/>
  <c r="W1290" i="1"/>
  <c r="W1291" i="1"/>
  <c r="W1292" i="1"/>
  <c r="W1293" i="1"/>
  <c r="W1294" i="1"/>
  <c r="W1295" i="1"/>
  <c r="W1296" i="1"/>
  <c r="W1297" i="1"/>
  <c r="W1298" i="1"/>
  <c r="W1299" i="1"/>
  <c r="W1300" i="1"/>
  <c r="W1301" i="1"/>
  <c r="W1302" i="1"/>
  <c r="W1303" i="1"/>
  <c r="W1304" i="1"/>
  <c r="W1305" i="1"/>
  <c r="W1306" i="1"/>
  <c r="W1307" i="1"/>
  <c r="W1308" i="1"/>
  <c r="W1309" i="1"/>
  <c r="W1310" i="1"/>
  <c r="W1311" i="1"/>
  <c r="W1312" i="1"/>
  <c r="W1313" i="1"/>
  <c r="W1314" i="1"/>
  <c r="W1315" i="1"/>
  <c r="W1316" i="1"/>
  <c r="W1317" i="1"/>
  <c r="W1318" i="1"/>
  <c r="W1319" i="1"/>
  <c r="W1320" i="1"/>
  <c r="W1321" i="1"/>
  <c r="W1322" i="1"/>
  <c r="W1323" i="1"/>
  <c r="W1324" i="1"/>
  <c r="W1325" i="1"/>
  <c r="W1326" i="1"/>
  <c r="W1327" i="1"/>
  <c r="W1328" i="1"/>
  <c r="W1329" i="1"/>
  <c r="W1330" i="1"/>
  <c r="W1331" i="1"/>
  <c r="W1332" i="1"/>
  <c r="W1333" i="1"/>
  <c r="W1334" i="1"/>
  <c r="W1335" i="1"/>
  <c r="W1336" i="1"/>
  <c r="W1337" i="1"/>
  <c r="W1338" i="1"/>
  <c r="W1339" i="1"/>
  <c r="W1340" i="1"/>
  <c r="W1341" i="1"/>
  <c r="W1342" i="1"/>
  <c r="W1343" i="1"/>
  <c r="W1344" i="1"/>
  <c r="W1345" i="1"/>
  <c r="W1346" i="1"/>
  <c r="W1347" i="1"/>
  <c r="W1348" i="1"/>
  <c r="W1349" i="1"/>
  <c r="W1350" i="1"/>
  <c r="W1351" i="1"/>
  <c r="W1352" i="1"/>
  <c r="W1353" i="1"/>
  <c r="W1354" i="1"/>
  <c r="W1355" i="1"/>
  <c r="W1356" i="1"/>
  <c r="W1357" i="1"/>
  <c r="W1358" i="1"/>
  <c r="W1359" i="1"/>
  <c r="W1360" i="1"/>
  <c r="W1361" i="1"/>
  <c r="W1362" i="1"/>
  <c r="W1363" i="1"/>
  <c r="W1364" i="1"/>
  <c r="W1365" i="1"/>
  <c r="W1366" i="1"/>
  <c r="W1367" i="1"/>
  <c r="W1368" i="1"/>
  <c r="W1369" i="1"/>
  <c r="W1370" i="1"/>
  <c r="W1371" i="1"/>
  <c r="W1372" i="1"/>
  <c r="W1373" i="1"/>
  <c r="W1374" i="1"/>
  <c r="W1375" i="1"/>
  <c r="W1376" i="1"/>
  <c r="W1377" i="1"/>
  <c r="W1378" i="1"/>
  <c r="W1379" i="1"/>
  <c r="W1380" i="1"/>
  <c r="W1381" i="1"/>
  <c r="W1382" i="1"/>
  <c r="W1383" i="1"/>
  <c r="W1384" i="1"/>
  <c r="W1385" i="1"/>
  <c r="W1386" i="1"/>
  <c r="W1387" i="1"/>
  <c r="W1388" i="1"/>
  <c r="W1389" i="1"/>
  <c r="W1390" i="1"/>
  <c r="W1391" i="1"/>
  <c r="W1392" i="1"/>
  <c r="W1393" i="1"/>
  <c r="W1394" i="1"/>
  <c r="W1395" i="1"/>
  <c r="W1396" i="1"/>
  <c r="W1397" i="1"/>
  <c r="W1398" i="1"/>
  <c r="W1399" i="1"/>
  <c r="W1400" i="1"/>
  <c r="W1401" i="1"/>
  <c r="W1402" i="1"/>
  <c r="W1403" i="1"/>
  <c r="W1404" i="1"/>
  <c r="W1405" i="1"/>
  <c r="W1406" i="1"/>
  <c r="W1407" i="1"/>
  <c r="W1408" i="1"/>
  <c r="W1409" i="1"/>
  <c r="W1410" i="1"/>
  <c r="W1411" i="1"/>
  <c r="W1412" i="1"/>
  <c r="W1413" i="1"/>
  <c r="W1414" i="1"/>
  <c r="W1415" i="1"/>
  <c r="W1416" i="1"/>
  <c r="W1417" i="1"/>
  <c r="W1418" i="1"/>
  <c r="W1419" i="1"/>
  <c r="W1420" i="1"/>
  <c r="W1421" i="1"/>
  <c r="W1422" i="1"/>
  <c r="W1423" i="1"/>
  <c r="W1424" i="1"/>
  <c r="W1425" i="1"/>
  <c r="W1426" i="1"/>
  <c r="W1427" i="1"/>
  <c r="W1428" i="1"/>
  <c r="W1429" i="1"/>
  <c r="W1430" i="1"/>
  <c r="W1431" i="1"/>
  <c r="W1432" i="1"/>
  <c r="W1433" i="1"/>
  <c r="W1434" i="1"/>
  <c r="W1435" i="1"/>
  <c r="W1436" i="1"/>
  <c r="W1437" i="1"/>
  <c r="W1438" i="1"/>
  <c r="W1439" i="1"/>
  <c r="W1440" i="1"/>
  <c r="W1441" i="1"/>
  <c r="W1442" i="1"/>
  <c r="W1443" i="1"/>
  <c r="W1444" i="1"/>
  <c r="W1445" i="1"/>
  <c r="W1446" i="1"/>
  <c r="W1447" i="1"/>
  <c r="W1448" i="1"/>
  <c r="W1449" i="1"/>
  <c r="W1450" i="1"/>
  <c r="W1451" i="1"/>
  <c r="W1452" i="1"/>
  <c r="W1453" i="1"/>
  <c r="W1454" i="1"/>
  <c r="W1455" i="1"/>
  <c r="W1456" i="1"/>
  <c r="W1457" i="1"/>
  <c r="W1458" i="1"/>
  <c r="W1459" i="1"/>
  <c r="W1460" i="1"/>
  <c r="W1461" i="1"/>
  <c r="W1462" i="1"/>
  <c r="W1463" i="1"/>
  <c r="W1464" i="1"/>
  <c r="W1465" i="1"/>
  <c r="W1466" i="1"/>
  <c r="W1467" i="1"/>
  <c r="W1468" i="1"/>
  <c r="W1469" i="1"/>
  <c r="W1470" i="1"/>
  <c r="W1471" i="1"/>
  <c r="W1472" i="1"/>
  <c r="W1473" i="1"/>
  <c r="W1474" i="1"/>
  <c r="W1475" i="1"/>
  <c r="W1476" i="1"/>
  <c r="W1477" i="1"/>
  <c r="W1478" i="1"/>
  <c r="W1479" i="1"/>
  <c r="W1480" i="1"/>
  <c r="W1481" i="1"/>
  <c r="W1482" i="1"/>
  <c r="W1483" i="1"/>
  <c r="W1484" i="1"/>
  <c r="W1485" i="1"/>
  <c r="W1486" i="1"/>
  <c r="W1487" i="1"/>
  <c r="W1488" i="1"/>
  <c r="W1489" i="1"/>
  <c r="W1490" i="1"/>
  <c r="W1491" i="1"/>
  <c r="W1492" i="1"/>
  <c r="W1493" i="1"/>
  <c r="W1494" i="1"/>
  <c r="W1495" i="1"/>
  <c r="W1496" i="1"/>
  <c r="W1497" i="1"/>
  <c r="W1498" i="1"/>
  <c r="W1499" i="1"/>
  <c r="W1500" i="1"/>
  <c r="W1501" i="1"/>
  <c r="W1502" i="1"/>
  <c r="W1503" i="1"/>
  <c r="W1504" i="1"/>
  <c r="W1505" i="1"/>
  <c r="W1506" i="1"/>
  <c r="W1507" i="1"/>
  <c r="W1508" i="1"/>
  <c r="W1509" i="1"/>
  <c r="W1510" i="1"/>
  <c r="W1511" i="1"/>
  <c r="W1512" i="1"/>
  <c r="W1513" i="1"/>
  <c r="W1514" i="1"/>
  <c r="W1515" i="1"/>
  <c r="W1516" i="1"/>
  <c r="W1517" i="1"/>
  <c r="W1518" i="1"/>
  <c r="W1519" i="1"/>
  <c r="W1520" i="1"/>
  <c r="W1521" i="1"/>
  <c r="W1522" i="1"/>
  <c r="W1523" i="1"/>
  <c r="W1524" i="1"/>
  <c r="W1525" i="1"/>
  <c r="W1526" i="1"/>
  <c r="W1527" i="1"/>
  <c r="W1528" i="1"/>
  <c r="W1529" i="1"/>
  <c r="W1530" i="1"/>
  <c r="W1531" i="1"/>
  <c r="W1532" i="1"/>
  <c r="W1533" i="1"/>
  <c r="W1534" i="1"/>
  <c r="W1535" i="1"/>
  <c r="W1536" i="1"/>
  <c r="W1537" i="1"/>
  <c r="W1538" i="1"/>
  <c r="W1539" i="1"/>
  <c r="W1540" i="1"/>
  <c r="W1541" i="1"/>
  <c r="W1542" i="1"/>
  <c r="W1543" i="1"/>
  <c r="W1544" i="1"/>
  <c r="W1545" i="1"/>
  <c r="W1546" i="1"/>
  <c r="W1547" i="1"/>
  <c r="W1548" i="1"/>
  <c r="W1549" i="1"/>
  <c r="W1550" i="1"/>
  <c r="W1551" i="1"/>
  <c r="W1552" i="1"/>
  <c r="W1553" i="1"/>
  <c r="W1554" i="1"/>
  <c r="W1555" i="1"/>
  <c r="W1556" i="1"/>
  <c r="W1557" i="1"/>
  <c r="W1558" i="1"/>
  <c r="W1559" i="1"/>
  <c r="W1560" i="1"/>
  <c r="W1561" i="1"/>
  <c r="W1562" i="1"/>
  <c r="W1563" i="1"/>
  <c r="W1564" i="1"/>
  <c r="W1565" i="1"/>
  <c r="W1566" i="1"/>
  <c r="W1567" i="1"/>
  <c r="W1568" i="1"/>
  <c r="W1569" i="1"/>
  <c r="W1570" i="1"/>
  <c r="W1571" i="1"/>
  <c r="W1572" i="1"/>
  <c r="W1573" i="1"/>
  <c r="W1574" i="1"/>
  <c r="W1575" i="1"/>
  <c r="W1576" i="1"/>
  <c r="W1577" i="1"/>
  <c r="W1578" i="1"/>
  <c r="W1579" i="1"/>
  <c r="W1580" i="1"/>
  <c r="W1581" i="1"/>
  <c r="W1582" i="1"/>
  <c r="W1583" i="1"/>
  <c r="W1584" i="1"/>
  <c r="W1585" i="1"/>
  <c r="W1586" i="1"/>
  <c r="W1587" i="1"/>
  <c r="W1588" i="1"/>
  <c r="W1589" i="1"/>
  <c r="W1590" i="1"/>
  <c r="W1591" i="1"/>
  <c r="W1592" i="1"/>
  <c r="W1593" i="1"/>
  <c r="W1594" i="1"/>
  <c r="W1595" i="1"/>
  <c r="W1596" i="1"/>
  <c r="W1597" i="1"/>
  <c r="W1598" i="1"/>
  <c r="W1599" i="1"/>
  <c r="W1600" i="1"/>
  <c r="W1601" i="1"/>
  <c r="W1602" i="1"/>
  <c r="W1603" i="1"/>
  <c r="W1604" i="1"/>
  <c r="W1605" i="1"/>
  <c r="W1606" i="1"/>
  <c r="W1607" i="1"/>
  <c r="W1608" i="1"/>
  <c r="W1609" i="1"/>
  <c r="W1610" i="1"/>
  <c r="W1611" i="1"/>
  <c r="W1612" i="1"/>
  <c r="W1613" i="1"/>
  <c r="W1614" i="1"/>
  <c r="W1615" i="1"/>
  <c r="W1616" i="1"/>
  <c r="W1617" i="1"/>
  <c r="W1618" i="1"/>
  <c r="W1619" i="1"/>
  <c r="W1620" i="1"/>
  <c r="W1621" i="1"/>
  <c r="W1622" i="1"/>
  <c r="W1623" i="1"/>
  <c r="W1624" i="1"/>
  <c r="W1625" i="1"/>
  <c r="W1626" i="1"/>
  <c r="W1627" i="1"/>
  <c r="W1628" i="1"/>
  <c r="W1629" i="1"/>
  <c r="W1630" i="1"/>
  <c r="W1631" i="1"/>
  <c r="W1632" i="1"/>
  <c r="W1633" i="1"/>
  <c r="W1634" i="1"/>
  <c r="W1635" i="1"/>
  <c r="W1636" i="1"/>
  <c r="W1637" i="1"/>
  <c r="W1638" i="1"/>
  <c r="W1639" i="1"/>
  <c r="W1640" i="1"/>
  <c r="W1641" i="1"/>
  <c r="W1642" i="1"/>
  <c r="W1643" i="1"/>
  <c r="W1644" i="1"/>
  <c r="W1645" i="1"/>
  <c r="W1646" i="1"/>
  <c r="W1647" i="1"/>
  <c r="W1648" i="1"/>
  <c r="W1649" i="1"/>
  <c r="W1650" i="1"/>
  <c r="W1651" i="1"/>
  <c r="W1652" i="1"/>
  <c r="W1653" i="1"/>
  <c r="W1654" i="1"/>
  <c r="W1655" i="1"/>
  <c r="W1656" i="1"/>
  <c r="W1657" i="1"/>
  <c r="W1658" i="1"/>
  <c r="W1659" i="1"/>
  <c r="W1660" i="1"/>
  <c r="W1661" i="1"/>
  <c r="W1662" i="1"/>
  <c r="W1663" i="1"/>
  <c r="W1664" i="1"/>
  <c r="W1665" i="1"/>
  <c r="W1666" i="1"/>
  <c r="W1667" i="1"/>
  <c r="W1668" i="1"/>
  <c r="W1669" i="1"/>
  <c r="W1670" i="1"/>
  <c r="W1671" i="1"/>
  <c r="W1672" i="1"/>
  <c r="W1673" i="1"/>
  <c r="W1674" i="1"/>
  <c r="W1675" i="1"/>
  <c r="W1676" i="1"/>
  <c r="W1677" i="1"/>
  <c r="W1678" i="1"/>
  <c r="W1679" i="1"/>
  <c r="W1680" i="1"/>
  <c r="W1681" i="1"/>
  <c r="W1682" i="1"/>
  <c r="W1683" i="1"/>
  <c r="W1684" i="1"/>
  <c r="W1685" i="1"/>
  <c r="W1686" i="1"/>
  <c r="W1687" i="1"/>
  <c r="W1688" i="1"/>
  <c r="W1689" i="1"/>
  <c r="W1690" i="1"/>
  <c r="W1691" i="1"/>
  <c r="W1692" i="1"/>
  <c r="W1693" i="1"/>
  <c r="W1694" i="1"/>
  <c r="W1695" i="1"/>
  <c r="W1696" i="1"/>
  <c r="W1697" i="1"/>
  <c r="W1698" i="1"/>
  <c r="W1699" i="1"/>
  <c r="W1700" i="1"/>
  <c r="W1701" i="1"/>
  <c r="W1702" i="1"/>
  <c r="W1703" i="1"/>
  <c r="W1704" i="1"/>
  <c r="W1705" i="1"/>
  <c r="W1706" i="1"/>
  <c r="W1707" i="1"/>
  <c r="W1708" i="1"/>
  <c r="W1709" i="1"/>
  <c r="W1710" i="1"/>
  <c r="W1711" i="1"/>
  <c r="W1712" i="1"/>
  <c r="W1713" i="1"/>
  <c r="W1714" i="1"/>
  <c r="W1715" i="1"/>
  <c r="W1716" i="1"/>
  <c r="W1717" i="1"/>
  <c r="W1718" i="1"/>
  <c r="W1719" i="1"/>
  <c r="W1720" i="1"/>
  <c r="W1721" i="1"/>
  <c r="W1722" i="1"/>
  <c r="W1723" i="1"/>
  <c r="W1724" i="1"/>
  <c r="W1725" i="1"/>
  <c r="W1726" i="1"/>
  <c r="W1727" i="1"/>
  <c r="W1728" i="1"/>
  <c r="W1729" i="1"/>
  <c r="W1730" i="1"/>
  <c r="W1731" i="1"/>
  <c r="W1732" i="1"/>
  <c r="W1733" i="1"/>
  <c r="W1734" i="1"/>
  <c r="W1735" i="1"/>
  <c r="W1736" i="1"/>
  <c r="W1737" i="1"/>
  <c r="W1738" i="1"/>
  <c r="W1739" i="1"/>
  <c r="W1740" i="1"/>
  <c r="W1741" i="1"/>
  <c r="W1742" i="1"/>
  <c r="W1743" i="1"/>
  <c r="W1744" i="1"/>
  <c r="W1745" i="1"/>
  <c r="W1746" i="1"/>
  <c r="W1747" i="1"/>
  <c r="W1748" i="1"/>
  <c r="W1749" i="1"/>
  <c r="W1750" i="1"/>
  <c r="W1751" i="1"/>
  <c r="W1752" i="1"/>
  <c r="W1753" i="1"/>
  <c r="W1754" i="1"/>
  <c r="W1755" i="1"/>
  <c r="W1756" i="1"/>
  <c r="W1757" i="1"/>
  <c r="W1758" i="1"/>
  <c r="W1759" i="1"/>
  <c r="W1760" i="1"/>
  <c r="W1761" i="1"/>
  <c r="W1762" i="1"/>
  <c r="W1763" i="1"/>
  <c r="W1764" i="1"/>
  <c r="W1765" i="1"/>
  <c r="W1766" i="1"/>
  <c r="W1767" i="1"/>
  <c r="W1768" i="1"/>
  <c r="W1769" i="1"/>
  <c r="W1770" i="1"/>
  <c r="W1771" i="1"/>
  <c r="W1772" i="1"/>
  <c r="W1773" i="1"/>
  <c r="W1774" i="1"/>
  <c r="W1775" i="1"/>
  <c r="W1776" i="1"/>
  <c r="W1777" i="1"/>
  <c r="W1778" i="1"/>
  <c r="W1779" i="1"/>
  <c r="W1780" i="1"/>
  <c r="W1781" i="1"/>
  <c r="W1782" i="1"/>
  <c r="W1783" i="1"/>
  <c r="W1784" i="1"/>
  <c r="W1785" i="1"/>
  <c r="W1786" i="1"/>
  <c r="W1787" i="1"/>
  <c r="W1788" i="1"/>
  <c r="W1789" i="1"/>
  <c r="W1790" i="1"/>
  <c r="W1791" i="1"/>
  <c r="W1792" i="1"/>
  <c r="W1793" i="1"/>
  <c r="W1794" i="1"/>
  <c r="W1795" i="1"/>
  <c r="W1796" i="1"/>
  <c r="W1797" i="1"/>
  <c r="W1798" i="1"/>
  <c r="W1799" i="1"/>
  <c r="W1800" i="1"/>
  <c r="W1801" i="1"/>
  <c r="W1802" i="1"/>
  <c r="W1803" i="1"/>
  <c r="W1804" i="1"/>
  <c r="W1805" i="1"/>
  <c r="W1806" i="1"/>
  <c r="W1807" i="1"/>
  <c r="W1808" i="1"/>
  <c r="W1809" i="1"/>
  <c r="W1810" i="1"/>
  <c r="W1811" i="1"/>
  <c r="W1812" i="1"/>
  <c r="W1813" i="1"/>
  <c r="W1814" i="1"/>
  <c r="W1815" i="1"/>
  <c r="W1816" i="1"/>
  <c r="W1817" i="1"/>
  <c r="W1818" i="1"/>
  <c r="W1819" i="1"/>
  <c r="W1820" i="1"/>
  <c r="W1821" i="1"/>
  <c r="W1822" i="1"/>
  <c r="W1823" i="1"/>
  <c r="W1824" i="1"/>
  <c r="W1825" i="1"/>
  <c r="W1826" i="1"/>
  <c r="W1827" i="1"/>
  <c r="W1828" i="1"/>
  <c r="W1829" i="1"/>
  <c r="W1830" i="1"/>
  <c r="W1831" i="1"/>
  <c r="W1832" i="1"/>
  <c r="W1833" i="1"/>
  <c r="W1834" i="1"/>
  <c r="W1835" i="1"/>
  <c r="W1836" i="1"/>
  <c r="W1837" i="1"/>
  <c r="W1838" i="1"/>
  <c r="W1839" i="1"/>
  <c r="W1840" i="1"/>
  <c r="W1841" i="1"/>
  <c r="W1842" i="1"/>
  <c r="W1843" i="1"/>
  <c r="W1844" i="1"/>
  <c r="W1845" i="1"/>
  <c r="W1846" i="1"/>
  <c r="W1847" i="1"/>
  <c r="W1848" i="1"/>
  <c r="W1849" i="1"/>
  <c r="W1850" i="1"/>
  <c r="W1851" i="1"/>
  <c r="W1852" i="1"/>
  <c r="W1853" i="1"/>
  <c r="W1854" i="1"/>
  <c r="W1855" i="1"/>
  <c r="W1856" i="1"/>
  <c r="W1857" i="1"/>
  <c r="W1858" i="1"/>
  <c r="W1859" i="1"/>
  <c r="W1860" i="1"/>
  <c r="W1861" i="1"/>
  <c r="W1862" i="1"/>
  <c r="W1863" i="1"/>
  <c r="W1864" i="1"/>
  <c r="W1865" i="1"/>
  <c r="W1866" i="1"/>
  <c r="W1867" i="1"/>
  <c r="W1868" i="1"/>
  <c r="W1869" i="1"/>
  <c r="W1870" i="1"/>
  <c r="W1871" i="1"/>
  <c r="W1872" i="1"/>
  <c r="W1873" i="1"/>
  <c r="W1874" i="1"/>
  <c r="W1875" i="1"/>
  <c r="W1876" i="1"/>
  <c r="W1877" i="1"/>
  <c r="W1878" i="1"/>
  <c r="W1879" i="1"/>
  <c r="W1880" i="1"/>
  <c r="W1881" i="1"/>
  <c r="W1882" i="1"/>
  <c r="W1883" i="1"/>
  <c r="W1884" i="1"/>
  <c r="W1885" i="1"/>
  <c r="W1886" i="1"/>
  <c r="W1887" i="1"/>
  <c r="W1888" i="1"/>
  <c r="W1889" i="1"/>
  <c r="W1890" i="1"/>
  <c r="W1891" i="1"/>
  <c r="W1892" i="1"/>
  <c r="W1893" i="1"/>
  <c r="W1894" i="1"/>
  <c r="W1895" i="1"/>
  <c r="W1896" i="1"/>
  <c r="W1897" i="1"/>
  <c r="W1898" i="1"/>
  <c r="W1899" i="1"/>
  <c r="W1900" i="1"/>
  <c r="W1901" i="1"/>
  <c r="W1902" i="1"/>
  <c r="W1903" i="1"/>
  <c r="W1904" i="1"/>
  <c r="W1905" i="1"/>
  <c r="W1906" i="1"/>
  <c r="W1907" i="1"/>
  <c r="W1908" i="1"/>
  <c r="W1909" i="1"/>
  <c r="W1910" i="1"/>
  <c r="W1911" i="1"/>
  <c r="W1912" i="1"/>
  <c r="W1913" i="1"/>
  <c r="W1914" i="1"/>
  <c r="W1915" i="1"/>
  <c r="W1916" i="1"/>
  <c r="W1917" i="1"/>
  <c r="W1918" i="1"/>
  <c r="W1919" i="1"/>
  <c r="W1920" i="1"/>
  <c r="W1921" i="1"/>
  <c r="W1922" i="1"/>
  <c r="W1923" i="1"/>
  <c r="W1924" i="1"/>
  <c r="W1925" i="1"/>
  <c r="W1926" i="1"/>
  <c r="W1927" i="1"/>
  <c r="W1928" i="1"/>
  <c r="W1929" i="1"/>
  <c r="W1930" i="1"/>
  <c r="W1931" i="1"/>
  <c r="W1932" i="1"/>
  <c r="W1933" i="1"/>
  <c r="W1934" i="1"/>
  <c r="W1935" i="1"/>
  <c r="W1936" i="1"/>
  <c r="W1937" i="1"/>
  <c r="W1938" i="1"/>
  <c r="W1939" i="1"/>
  <c r="W1940" i="1"/>
  <c r="W1941" i="1"/>
  <c r="W1942" i="1"/>
  <c r="W1943" i="1"/>
  <c r="W1944" i="1"/>
  <c r="W1945" i="1"/>
  <c r="W1946" i="1"/>
  <c r="W1947" i="1"/>
  <c r="W1948" i="1"/>
  <c r="W1949" i="1"/>
  <c r="W1950" i="1"/>
  <c r="W1951" i="1"/>
  <c r="W1952" i="1"/>
  <c r="W1953" i="1"/>
  <c r="W1954" i="1"/>
  <c r="W1955" i="1"/>
  <c r="W1956" i="1"/>
  <c r="W1957" i="1"/>
  <c r="W1958" i="1"/>
  <c r="W1959" i="1"/>
  <c r="W1960" i="1"/>
  <c r="W1961" i="1"/>
  <c r="W1962" i="1"/>
  <c r="W1963" i="1"/>
  <c r="W1964" i="1"/>
  <c r="W1965" i="1"/>
  <c r="W1966" i="1"/>
  <c r="W1967" i="1"/>
  <c r="W1968" i="1"/>
  <c r="W1969" i="1"/>
  <c r="W1970" i="1"/>
  <c r="W1971" i="1"/>
  <c r="W1972" i="1"/>
  <c r="W1973" i="1"/>
  <c r="W1974" i="1"/>
  <c r="W1975" i="1"/>
  <c r="W1976" i="1"/>
  <c r="W1977" i="1"/>
  <c r="W1978" i="1"/>
  <c r="W1979" i="1"/>
  <c r="W1980" i="1"/>
  <c r="W1981" i="1"/>
  <c r="W1982" i="1"/>
  <c r="W1983" i="1"/>
  <c r="W1984" i="1"/>
  <c r="W1985" i="1"/>
  <c r="W1986" i="1"/>
  <c r="W1987" i="1"/>
  <c r="W1988" i="1"/>
  <c r="W1989" i="1"/>
  <c r="W1990" i="1"/>
  <c r="W1991" i="1"/>
  <c r="W1992" i="1"/>
  <c r="W1993" i="1"/>
  <c r="W1994" i="1"/>
  <c r="W1995" i="1"/>
  <c r="W1996" i="1"/>
  <c r="W1997" i="1"/>
  <c r="W1998" i="1"/>
  <c r="W1999" i="1"/>
  <c r="W2000" i="1"/>
  <c r="W2001" i="1"/>
  <c r="W2002" i="1"/>
  <c r="W2003" i="1"/>
  <c r="W2004" i="1"/>
  <c r="W2005" i="1"/>
  <c r="W2006" i="1"/>
  <c r="W2007" i="1"/>
  <c r="W2008" i="1"/>
  <c r="W2009" i="1"/>
  <c r="W2010" i="1"/>
  <c r="W2011" i="1"/>
  <c r="W2012" i="1"/>
  <c r="W2013" i="1"/>
  <c r="W2014" i="1"/>
  <c r="W2015" i="1"/>
  <c r="W2016" i="1"/>
  <c r="W2017" i="1"/>
  <c r="W2018" i="1"/>
  <c r="W2019" i="1"/>
  <c r="W2020" i="1"/>
  <c r="W2021" i="1"/>
  <c r="W2022" i="1"/>
  <c r="W2023" i="1"/>
  <c r="W2024" i="1"/>
  <c r="W2025" i="1"/>
  <c r="W2026" i="1"/>
  <c r="W2027" i="1"/>
  <c r="W2028" i="1"/>
  <c r="W2029" i="1"/>
  <c r="W2030" i="1"/>
  <c r="W2031" i="1"/>
  <c r="W2032" i="1"/>
  <c r="W2033" i="1"/>
  <c r="W2034" i="1"/>
  <c r="W2035" i="1"/>
  <c r="W2036" i="1"/>
  <c r="W2037" i="1"/>
  <c r="W2038" i="1"/>
  <c r="W2039" i="1"/>
  <c r="W2040" i="1"/>
  <c r="W2041" i="1"/>
  <c r="W2042" i="1"/>
  <c r="W2043" i="1"/>
  <c r="W2044" i="1"/>
  <c r="W2045" i="1"/>
  <c r="W2046" i="1"/>
  <c r="W2047" i="1"/>
  <c r="W2048" i="1"/>
  <c r="W2049" i="1"/>
  <c r="W2050" i="1"/>
  <c r="W2051" i="1"/>
  <c r="W2052" i="1"/>
  <c r="W2053" i="1"/>
  <c r="W2054" i="1"/>
  <c r="W2055" i="1"/>
  <c r="W2056" i="1"/>
  <c r="W2057" i="1"/>
  <c r="W2058" i="1"/>
  <c r="W2059" i="1"/>
  <c r="W2060" i="1"/>
  <c r="W2061" i="1"/>
  <c r="W2062" i="1"/>
  <c r="W2063" i="1"/>
  <c r="W2064" i="1"/>
  <c r="W2065" i="1"/>
  <c r="W2066" i="1"/>
  <c r="W2067" i="1"/>
  <c r="W2068" i="1"/>
  <c r="W2069" i="1"/>
  <c r="W2070" i="1"/>
  <c r="W2071" i="1"/>
  <c r="W2072" i="1"/>
  <c r="W2073" i="1"/>
  <c r="W2074" i="1"/>
  <c r="W2075" i="1"/>
  <c r="W2076" i="1"/>
  <c r="W2077" i="1"/>
  <c r="W2078" i="1"/>
  <c r="W2079" i="1"/>
  <c r="W2080" i="1"/>
  <c r="W2081" i="1"/>
  <c r="W2082" i="1"/>
  <c r="W2083" i="1"/>
  <c r="W2084" i="1"/>
  <c r="W2085" i="1"/>
  <c r="W2086" i="1"/>
  <c r="W2087" i="1"/>
  <c r="W2088" i="1"/>
  <c r="W2089" i="1"/>
  <c r="W2090" i="1"/>
  <c r="W2091" i="1"/>
  <c r="W2092" i="1"/>
  <c r="W2093" i="1"/>
  <c r="W2094" i="1"/>
  <c r="W2095" i="1"/>
  <c r="W2096" i="1"/>
  <c r="W2097" i="1"/>
  <c r="W2098" i="1"/>
  <c r="W2099" i="1"/>
  <c r="W2100" i="1"/>
  <c r="W2101" i="1"/>
  <c r="W2102" i="1"/>
  <c r="W2103" i="1"/>
  <c r="W2104" i="1"/>
  <c r="W2105" i="1"/>
  <c r="W2106" i="1"/>
  <c r="W2107" i="1"/>
  <c r="W2108" i="1"/>
  <c r="W2109" i="1"/>
  <c r="W2110" i="1"/>
  <c r="W2111" i="1"/>
  <c r="W2112" i="1"/>
  <c r="W2113" i="1"/>
  <c r="W2114" i="1"/>
  <c r="W2115" i="1"/>
  <c r="W2116" i="1"/>
  <c r="W2117" i="1"/>
  <c r="W2118" i="1"/>
  <c r="W2119" i="1"/>
  <c r="W2120" i="1"/>
  <c r="W2121" i="1"/>
  <c r="W2122" i="1"/>
  <c r="W2123" i="1"/>
  <c r="W2124" i="1"/>
  <c r="W2125" i="1"/>
  <c r="W2126" i="1"/>
  <c r="W2127" i="1"/>
  <c r="W2128" i="1"/>
  <c r="W2129" i="1"/>
  <c r="W2130" i="1"/>
  <c r="W2131" i="1"/>
  <c r="W2132" i="1"/>
  <c r="W2133" i="1"/>
  <c r="W2134" i="1"/>
  <c r="W2135" i="1"/>
  <c r="W2136" i="1"/>
  <c r="W2137" i="1"/>
  <c r="W2138" i="1"/>
  <c r="W2139" i="1"/>
  <c r="W2140" i="1"/>
  <c r="W2141" i="1"/>
  <c r="W2142" i="1"/>
  <c r="W2143" i="1"/>
  <c r="W2144" i="1"/>
  <c r="W2145" i="1"/>
  <c r="W2146" i="1"/>
  <c r="W2147" i="1"/>
  <c r="W2148" i="1"/>
  <c r="W2149" i="1"/>
  <c r="W2150" i="1"/>
  <c r="W2151" i="1"/>
  <c r="W2152" i="1"/>
  <c r="W2153" i="1"/>
  <c r="W2154" i="1"/>
  <c r="W2155" i="1"/>
  <c r="W2156" i="1"/>
  <c r="W2157" i="1"/>
  <c r="W2158" i="1"/>
  <c r="W2159" i="1"/>
  <c r="W2160" i="1"/>
  <c r="W2161" i="1"/>
  <c r="W2162" i="1"/>
  <c r="W2163" i="1"/>
  <c r="W2164" i="1"/>
  <c r="W2165" i="1"/>
  <c r="W2166" i="1"/>
  <c r="W2167" i="1"/>
  <c r="W2168" i="1"/>
  <c r="W2169" i="1"/>
  <c r="W2170" i="1"/>
  <c r="W2171" i="1"/>
  <c r="W2172" i="1"/>
  <c r="W2173" i="1"/>
  <c r="W2174" i="1"/>
  <c r="W2175" i="1"/>
  <c r="W2176" i="1"/>
  <c r="W2177" i="1"/>
  <c r="W2178" i="1"/>
  <c r="W2179" i="1"/>
  <c r="W2180" i="1"/>
  <c r="W2181" i="1"/>
  <c r="W2182" i="1"/>
  <c r="W2183" i="1"/>
  <c r="W2184" i="1"/>
  <c r="W2185" i="1"/>
  <c r="W2186" i="1"/>
  <c r="W2187" i="1"/>
  <c r="W2188" i="1"/>
  <c r="W2189" i="1"/>
  <c r="W2190" i="1"/>
  <c r="W2191" i="1"/>
  <c r="W2192" i="1"/>
  <c r="W2193" i="1"/>
  <c r="W2194" i="1"/>
  <c r="W2195" i="1"/>
  <c r="W2196" i="1"/>
  <c r="W2197" i="1"/>
  <c r="W2198" i="1"/>
  <c r="W2199" i="1"/>
  <c r="W2200" i="1"/>
  <c r="W2201" i="1"/>
  <c r="W2202" i="1"/>
  <c r="W2203" i="1"/>
  <c r="W2204" i="1"/>
  <c r="W2205" i="1"/>
  <c r="W2206" i="1"/>
  <c r="W2207" i="1"/>
  <c r="W2208" i="1"/>
  <c r="W2209" i="1"/>
  <c r="W2210" i="1"/>
  <c r="W2211" i="1"/>
  <c r="W2212" i="1"/>
  <c r="W2213" i="1"/>
  <c r="W2214" i="1"/>
  <c r="W2215" i="1"/>
  <c r="W2216" i="1"/>
  <c r="W2217" i="1"/>
  <c r="W2218" i="1"/>
  <c r="W2219" i="1"/>
  <c r="W2220" i="1"/>
  <c r="W2221" i="1"/>
  <c r="W2222" i="1"/>
  <c r="W2223" i="1"/>
  <c r="W2224" i="1"/>
  <c r="W2225" i="1"/>
  <c r="W2226" i="1"/>
  <c r="W2227" i="1"/>
  <c r="W2228" i="1"/>
  <c r="W2229" i="1"/>
  <c r="W2230" i="1"/>
  <c r="W2231" i="1"/>
  <c r="W2232" i="1"/>
  <c r="W2233" i="1"/>
  <c r="W2234" i="1"/>
  <c r="W2235" i="1"/>
  <c r="W2236" i="1"/>
  <c r="W2237" i="1"/>
  <c r="W2238" i="1"/>
  <c r="W2239" i="1"/>
  <c r="W2240" i="1"/>
  <c r="W2241" i="1"/>
  <c r="W2242" i="1"/>
  <c r="W2243" i="1"/>
  <c r="W2244" i="1"/>
  <c r="W2245" i="1"/>
  <c r="W2246" i="1"/>
  <c r="W2247" i="1"/>
  <c r="W2248" i="1"/>
  <c r="W2249" i="1"/>
  <c r="W2250" i="1"/>
  <c r="W2251" i="1"/>
  <c r="W2252" i="1"/>
  <c r="W2253" i="1"/>
  <c r="W2254" i="1"/>
  <c r="W2255" i="1"/>
  <c r="W2256" i="1"/>
  <c r="W2257" i="1"/>
  <c r="W2258" i="1"/>
  <c r="W2259" i="1"/>
  <c r="W2260" i="1"/>
  <c r="W2261" i="1"/>
  <c r="W2262" i="1"/>
  <c r="W2263" i="1"/>
  <c r="W2264" i="1"/>
  <c r="W2265" i="1"/>
  <c r="W2266" i="1"/>
  <c r="W2267" i="1"/>
  <c r="W2268" i="1"/>
  <c r="W2269" i="1"/>
  <c r="W2270" i="1"/>
  <c r="W2271" i="1"/>
  <c r="W2272" i="1"/>
  <c r="W2273" i="1"/>
  <c r="W2274" i="1"/>
  <c r="W2275" i="1"/>
  <c r="W2276" i="1"/>
  <c r="W2277" i="1"/>
  <c r="W2278" i="1"/>
  <c r="W2279" i="1"/>
  <c r="W2280" i="1"/>
  <c r="W2281" i="1"/>
  <c r="W2282" i="1"/>
  <c r="W2283" i="1"/>
  <c r="W2284" i="1"/>
  <c r="W2285" i="1"/>
  <c r="W2286" i="1"/>
  <c r="W2287" i="1"/>
  <c r="W2288" i="1"/>
  <c r="W2289" i="1"/>
  <c r="W2290" i="1"/>
  <c r="W2291" i="1"/>
  <c r="W2292" i="1"/>
  <c r="W2293" i="1"/>
  <c r="W2294" i="1"/>
  <c r="W2295" i="1"/>
  <c r="W2296" i="1"/>
  <c r="W2297" i="1"/>
  <c r="W2298" i="1"/>
  <c r="W2299" i="1"/>
  <c r="W2300" i="1"/>
  <c r="W2301" i="1"/>
  <c r="W2302" i="1"/>
  <c r="W2303" i="1"/>
  <c r="W2304" i="1"/>
  <c r="W2305" i="1"/>
  <c r="W2306" i="1"/>
  <c r="W2307" i="1"/>
  <c r="W2308" i="1"/>
  <c r="W2309" i="1"/>
  <c r="W2310" i="1"/>
  <c r="W2311" i="1"/>
  <c r="W2312" i="1"/>
  <c r="W2313" i="1"/>
  <c r="W2314" i="1"/>
  <c r="W2315" i="1"/>
  <c r="W2316" i="1"/>
  <c r="W2317" i="1"/>
  <c r="W2318" i="1"/>
  <c r="W2319" i="1"/>
  <c r="W2320" i="1"/>
  <c r="W2321" i="1"/>
  <c r="W2322" i="1"/>
  <c r="W2323" i="1"/>
  <c r="W2324" i="1"/>
  <c r="W2325" i="1"/>
  <c r="W2326" i="1"/>
  <c r="W2327" i="1"/>
  <c r="W2328" i="1"/>
  <c r="W2329" i="1"/>
  <c r="W2330" i="1"/>
  <c r="W2331" i="1"/>
  <c r="W2332" i="1"/>
  <c r="W2333" i="1"/>
  <c r="W2334" i="1"/>
  <c r="W2335" i="1"/>
  <c r="W2336" i="1"/>
  <c r="W2337" i="1"/>
  <c r="W2338" i="1"/>
  <c r="W2339" i="1"/>
  <c r="W2340" i="1"/>
  <c r="W2341" i="1"/>
  <c r="W2342" i="1"/>
  <c r="W2343" i="1"/>
  <c r="W2344" i="1"/>
  <c r="W2345" i="1"/>
  <c r="W2346" i="1"/>
  <c r="W2347" i="1"/>
  <c r="W2348" i="1"/>
  <c r="W2349" i="1"/>
  <c r="W2350" i="1"/>
  <c r="W2351" i="1"/>
  <c r="W2352" i="1"/>
  <c r="W2353" i="1"/>
  <c r="W2354" i="1"/>
  <c r="W2355" i="1"/>
  <c r="W2356" i="1"/>
  <c r="W2357" i="1"/>
  <c r="W2358" i="1"/>
  <c r="W2359" i="1"/>
  <c r="W2360" i="1"/>
  <c r="W2361" i="1"/>
  <c r="W2362" i="1"/>
  <c r="W2363" i="1"/>
  <c r="W2364" i="1"/>
  <c r="W2365" i="1"/>
  <c r="W2366" i="1"/>
  <c r="W2367" i="1"/>
  <c r="W2368" i="1"/>
  <c r="W2369" i="1"/>
  <c r="W2370" i="1"/>
  <c r="W2371" i="1"/>
  <c r="W2372" i="1"/>
  <c r="W2373" i="1"/>
  <c r="W2374" i="1"/>
  <c r="W2375" i="1"/>
  <c r="W2376" i="1"/>
  <c r="W2377" i="1"/>
  <c r="W2378" i="1"/>
  <c r="W2379" i="1"/>
  <c r="W2380" i="1"/>
  <c r="W2381" i="1"/>
  <c r="W2382" i="1"/>
  <c r="W2383" i="1"/>
  <c r="W2384" i="1"/>
  <c r="W2385" i="1"/>
  <c r="W2386" i="1"/>
  <c r="W2387" i="1"/>
  <c r="W2388" i="1"/>
  <c r="W2389" i="1"/>
  <c r="W2390" i="1"/>
  <c r="W2391" i="1"/>
  <c r="W2392" i="1"/>
  <c r="W2393" i="1"/>
  <c r="W2394" i="1"/>
  <c r="W2395" i="1"/>
  <c r="W2396" i="1"/>
  <c r="W2397" i="1"/>
  <c r="W2398" i="1"/>
  <c r="W2399" i="1"/>
  <c r="W2400" i="1"/>
  <c r="W2401" i="1"/>
  <c r="W2402" i="1"/>
  <c r="W2403" i="1"/>
  <c r="W2404" i="1"/>
  <c r="W2405" i="1"/>
  <c r="W2406" i="1"/>
  <c r="W2407" i="1"/>
  <c r="W2408" i="1"/>
  <c r="W2409" i="1"/>
  <c r="W2410" i="1"/>
  <c r="W2411" i="1"/>
  <c r="W2412" i="1"/>
  <c r="W2413" i="1"/>
  <c r="W2414" i="1"/>
  <c r="W2415" i="1"/>
  <c r="W2416" i="1"/>
  <c r="W2417" i="1"/>
  <c r="W2418" i="1"/>
  <c r="W2419" i="1"/>
  <c r="W2420" i="1"/>
  <c r="W2421" i="1"/>
  <c r="W2422" i="1"/>
  <c r="W2423" i="1"/>
  <c r="W2424" i="1"/>
  <c r="W2425" i="1"/>
  <c r="W2426" i="1"/>
  <c r="W2427" i="1"/>
  <c r="W2428" i="1"/>
  <c r="W2429" i="1"/>
  <c r="W2430" i="1"/>
  <c r="W2431" i="1"/>
  <c r="W2432" i="1"/>
  <c r="W2433" i="1"/>
  <c r="W2434" i="1"/>
  <c r="W2435" i="1"/>
  <c r="W2436" i="1"/>
  <c r="W2437" i="1"/>
  <c r="W2438" i="1"/>
  <c r="W2439" i="1"/>
  <c r="W2440" i="1"/>
  <c r="W2441" i="1"/>
  <c r="W2442" i="1"/>
  <c r="W2443" i="1"/>
  <c r="W2444" i="1"/>
  <c r="W2445" i="1"/>
  <c r="W2446" i="1"/>
  <c r="W2447" i="1"/>
  <c r="W2448" i="1"/>
  <c r="W2449" i="1"/>
  <c r="W2450" i="1"/>
  <c r="W2451" i="1"/>
  <c r="W2452" i="1"/>
  <c r="W2453" i="1"/>
  <c r="W2454" i="1"/>
  <c r="W2455" i="1"/>
  <c r="W2456" i="1"/>
  <c r="W2457" i="1"/>
  <c r="W2458" i="1"/>
  <c r="W2459" i="1"/>
  <c r="W2460" i="1"/>
  <c r="W2461" i="1"/>
  <c r="W2462" i="1"/>
  <c r="W2463" i="1"/>
  <c r="W2464" i="1"/>
  <c r="W2465" i="1"/>
  <c r="W2466" i="1"/>
  <c r="W2467" i="1"/>
  <c r="W2468" i="1"/>
  <c r="W2469" i="1"/>
  <c r="W2470" i="1"/>
  <c r="W2471" i="1"/>
  <c r="W2472" i="1"/>
  <c r="W2473" i="1"/>
  <c r="W2474" i="1"/>
  <c r="W2475" i="1"/>
  <c r="W2476" i="1"/>
  <c r="W2477" i="1"/>
  <c r="W2478" i="1"/>
  <c r="W2479" i="1"/>
  <c r="W2480" i="1"/>
  <c r="W2481" i="1"/>
  <c r="W2482" i="1"/>
  <c r="W2483" i="1"/>
  <c r="W2484" i="1"/>
  <c r="W2485" i="1"/>
  <c r="W2486" i="1"/>
  <c r="W2487" i="1"/>
  <c r="W2488" i="1"/>
  <c r="W2489" i="1"/>
  <c r="W2490" i="1"/>
  <c r="W2491" i="1"/>
  <c r="W2492" i="1"/>
  <c r="W2493" i="1"/>
  <c r="W2494" i="1"/>
  <c r="W2495" i="1"/>
  <c r="W2496" i="1"/>
  <c r="W2497" i="1"/>
  <c r="W2498" i="1"/>
  <c r="W2499" i="1"/>
  <c r="W2500" i="1"/>
  <c r="W2501" i="1"/>
  <c r="W2502" i="1"/>
  <c r="W2503" i="1"/>
  <c r="W2504" i="1"/>
  <c r="W2505" i="1"/>
  <c r="W2506" i="1"/>
  <c r="W2507" i="1"/>
  <c r="W2508" i="1"/>
  <c r="W2509" i="1"/>
  <c r="W2510" i="1"/>
  <c r="W2511" i="1"/>
  <c r="W2512" i="1"/>
  <c r="W2513" i="1"/>
  <c r="W2514" i="1"/>
  <c r="W2515" i="1"/>
  <c r="W2516" i="1"/>
  <c r="W2517" i="1"/>
  <c r="W2518" i="1"/>
  <c r="W2519" i="1"/>
  <c r="W2520" i="1"/>
  <c r="W2521" i="1"/>
  <c r="W2522" i="1"/>
  <c r="W2523" i="1"/>
  <c r="W2524" i="1"/>
  <c r="W2525" i="1"/>
  <c r="W2526" i="1"/>
  <c r="W2527" i="1"/>
  <c r="W2528" i="1"/>
  <c r="W2529" i="1"/>
  <c r="W2530" i="1"/>
  <c r="W2531" i="1"/>
  <c r="W2532" i="1"/>
  <c r="W2533" i="1"/>
  <c r="W2534" i="1"/>
  <c r="W2535" i="1"/>
  <c r="W2536" i="1"/>
  <c r="W2537" i="1"/>
  <c r="W2538" i="1"/>
  <c r="W2539" i="1"/>
  <c r="W2540" i="1"/>
  <c r="W2541" i="1"/>
  <c r="W2542" i="1"/>
  <c r="W2543" i="1"/>
  <c r="W2544" i="1"/>
  <c r="W2545" i="1"/>
  <c r="W2546" i="1"/>
  <c r="W2547" i="1"/>
  <c r="W2548" i="1"/>
  <c r="W2549" i="1"/>
  <c r="W2550" i="1"/>
  <c r="W2551" i="1"/>
  <c r="W2552" i="1"/>
  <c r="W2553" i="1"/>
  <c r="W2554" i="1"/>
  <c r="W2555" i="1"/>
  <c r="W2556" i="1"/>
  <c r="W2557" i="1"/>
  <c r="W2558" i="1"/>
  <c r="W2559" i="1"/>
  <c r="W2560" i="1"/>
  <c r="W2561" i="1"/>
  <c r="W2562" i="1"/>
  <c r="W2563" i="1"/>
  <c r="W2564" i="1"/>
  <c r="W2565" i="1"/>
  <c r="W2566" i="1"/>
  <c r="W2567" i="1"/>
  <c r="W2568" i="1"/>
  <c r="W2569" i="1"/>
  <c r="W2570" i="1"/>
  <c r="W2571" i="1"/>
  <c r="W2572" i="1"/>
  <c r="W2573" i="1"/>
  <c r="W2574" i="1"/>
  <c r="W2575" i="1"/>
  <c r="W2576" i="1"/>
  <c r="W2577" i="1"/>
  <c r="W2578" i="1"/>
  <c r="W2579" i="1"/>
  <c r="W2580" i="1"/>
  <c r="W2581" i="1"/>
  <c r="W2582" i="1"/>
  <c r="W2583" i="1"/>
  <c r="W2584" i="1"/>
  <c r="W2585" i="1"/>
  <c r="W2586" i="1"/>
  <c r="W2587" i="1"/>
  <c r="W2588" i="1"/>
  <c r="W2589" i="1"/>
  <c r="W2590" i="1"/>
  <c r="W2591" i="1"/>
  <c r="W2592" i="1"/>
  <c r="W2593" i="1"/>
  <c r="W2594" i="1"/>
  <c r="W2595" i="1"/>
  <c r="W2596" i="1"/>
  <c r="W2597" i="1"/>
  <c r="W2598" i="1"/>
  <c r="W2599" i="1"/>
  <c r="W2600" i="1"/>
  <c r="W2601" i="1"/>
  <c r="W2602" i="1"/>
  <c r="W2603" i="1"/>
  <c r="W2604" i="1"/>
  <c r="W2605" i="1"/>
  <c r="W2606" i="1"/>
  <c r="W2607" i="1"/>
  <c r="W2608" i="1"/>
  <c r="W2609" i="1"/>
  <c r="W2610" i="1"/>
  <c r="W2611" i="1"/>
  <c r="W2612" i="1"/>
  <c r="W2613" i="1"/>
  <c r="W2614" i="1"/>
  <c r="W2615" i="1"/>
  <c r="W2616" i="1"/>
  <c r="W2617" i="1"/>
  <c r="W2618" i="1"/>
  <c r="W2619" i="1"/>
  <c r="W2620" i="1"/>
  <c r="W2621" i="1"/>
  <c r="W2622" i="1"/>
  <c r="W2623" i="1"/>
  <c r="W2624" i="1"/>
  <c r="W2625" i="1"/>
  <c r="W2626" i="1"/>
  <c r="W2627" i="1"/>
  <c r="W2628" i="1"/>
  <c r="W2629" i="1"/>
  <c r="W2630" i="1"/>
  <c r="W2631" i="1"/>
  <c r="W2632" i="1"/>
  <c r="W2633" i="1"/>
  <c r="W2634" i="1"/>
  <c r="W2635" i="1"/>
  <c r="W2636" i="1"/>
  <c r="W2637" i="1"/>
  <c r="W2638" i="1"/>
  <c r="W2639" i="1"/>
  <c r="W2640" i="1"/>
  <c r="W2641" i="1"/>
  <c r="W2642" i="1"/>
  <c r="W2643" i="1"/>
  <c r="W2644" i="1"/>
  <c r="W2645" i="1"/>
  <c r="W2646" i="1"/>
  <c r="W2647" i="1"/>
  <c r="W2648" i="1"/>
  <c r="W2649" i="1"/>
  <c r="W2650" i="1"/>
  <c r="W2651" i="1"/>
  <c r="W2652" i="1"/>
  <c r="W2653" i="1"/>
  <c r="W2654" i="1"/>
  <c r="W2655" i="1"/>
  <c r="W2656" i="1"/>
  <c r="W2657" i="1"/>
  <c r="W2658" i="1"/>
  <c r="W2659" i="1"/>
  <c r="W2660" i="1"/>
  <c r="W2661" i="1"/>
  <c r="W2662" i="1"/>
  <c r="W2663" i="1"/>
  <c r="W2664" i="1"/>
  <c r="W2665" i="1"/>
  <c r="W2666" i="1"/>
  <c r="W2667" i="1"/>
  <c r="W2668" i="1"/>
  <c r="W2669" i="1"/>
  <c r="W2670" i="1"/>
  <c r="W2671" i="1"/>
  <c r="W2672" i="1"/>
  <c r="W2673" i="1"/>
  <c r="W2674" i="1"/>
  <c r="W2675" i="1"/>
  <c r="W2676" i="1"/>
  <c r="W2677" i="1"/>
  <c r="W2678" i="1"/>
  <c r="W2679" i="1"/>
  <c r="W2680" i="1"/>
  <c r="W2681" i="1"/>
  <c r="W2682" i="1"/>
  <c r="W2683" i="1"/>
  <c r="W2684" i="1"/>
  <c r="W2685" i="1"/>
  <c r="W2686" i="1"/>
  <c r="W2687" i="1"/>
  <c r="W2688" i="1"/>
  <c r="W2689" i="1"/>
  <c r="W2690" i="1"/>
  <c r="W2691" i="1"/>
  <c r="W2692" i="1"/>
  <c r="W2693" i="1"/>
  <c r="W2694" i="1"/>
  <c r="W2695" i="1"/>
  <c r="W2696" i="1"/>
  <c r="W2697" i="1"/>
  <c r="W2698" i="1"/>
  <c r="W2699" i="1"/>
  <c r="W2700" i="1"/>
  <c r="W2701" i="1"/>
  <c r="W2702" i="1"/>
  <c r="W2703" i="1"/>
  <c r="W2704" i="1"/>
  <c r="W2705" i="1"/>
  <c r="W2706" i="1"/>
  <c r="W2707" i="1"/>
  <c r="W2708" i="1"/>
  <c r="W2709" i="1"/>
  <c r="W2710" i="1"/>
  <c r="W2711" i="1"/>
  <c r="W2712" i="1"/>
  <c r="W2713" i="1"/>
  <c r="W2714" i="1"/>
  <c r="W2715" i="1"/>
  <c r="W2716" i="1"/>
  <c r="W2717" i="1"/>
  <c r="W2718" i="1"/>
  <c r="W2719" i="1"/>
  <c r="W2720" i="1"/>
  <c r="W2721" i="1"/>
  <c r="W2722" i="1"/>
  <c r="W2723" i="1"/>
  <c r="W2724" i="1"/>
  <c r="W2725" i="1"/>
  <c r="W2726" i="1"/>
  <c r="W2727" i="1"/>
  <c r="W2728" i="1"/>
  <c r="W2729" i="1"/>
  <c r="W2730" i="1"/>
  <c r="W2731" i="1"/>
  <c r="W2732" i="1"/>
  <c r="W2733" i="1"/>
  <c r="W2734" i="1"/>
  <c r="W2735" i="1"/>
  <c r="W2736" i="1"/>
  <c r="W2737" i="1"/>
  <c r="W2738" i="1"/>
  <c r="W2739" i="1"/>
  <c r="W2740" i="1"/>
  <c r="W2741" i="1"/>
  <c r="W2742" i="1"/>
  <c r="W2743" i="1"/>
  <c r="W2744" i="1"/>
  <c r="W2745" i="1"/>
  <c r="W2746" i="1"/>
  <c r="W2747" i="1"/>
  <c r="W2748" i="1"/>
  <c r="W2749" i="1"/>
  <c r="W2750" i="1"/>
  <c r="W2751" i="1"/>
  <c r="W2752" i="1"/>
  <c r="W2753" i="1"/>
  <c r="W2754" i="1"/>
  <c r="W2755" i="1"/>
  <c r="W2756" i="1"/>
  <c r="W2757" i="1"/>
  <c r="W2758" i="1"/>
  <c r="W2759" i="1"/>
  <c r="W2760" i="1"/>
  <c r="W2761" i="1"/>
  <c r="W2762" i="1"/>
  <c r="W2763" i="1"/>
  <c r="W2764" i="1"/>
  <c r="W2765" i="1"/>
  <c r="W2766" i="1"/>
  <c r="W2767" i="1"/>
  <c r="W2768" i="1"/>
  <c r="W2769" i="1"/>
  <c r="W2770" i="1"/>
  <c r="W2771" i="1"/>
  <c r="W2772" i="1"/>
  <c r="W2773" i="1"/>
  <c r="W2774" i="1"/>
  <c r="W2775" i="1"/>
  <c r="W2776" i="1"/>
  <c r="W2777" i="1"/>
  <c r="W2778" i="1"/>
  <c r="W2779" i="1"/>
  <c r="W2780" i="1"/>
  <c r="W2781" i="1"/>
  <c r="W2782" i="1"/>
  <c r="W2783" i="1"/>
  <c r="W2784" i="1"/>
  <c r="W2785" i="1"/>
  <c r="W2786" i="1"/>
  <c r="W2787" i="1"/>
  <c r="W2788" i="1"/>
  <c r="W2789" i="1"/>
  <c r="W2790" i="1"/>
  <c r="W2791" i="1"/>
  <c r="W2792" i="1"/>
  <c r="W2793" i="1"/>
  <c r="W2794" i="1"/>
  <c r="W2795" i="1"/>
  <c r="W2796" i="1"/>
  <c r="W2797" i="1"/>
  <c r="W2798" i="1"/>
  <c r="W2799" i="1"/>
  <c r="W2800" i="1"/>
  <c r="W2801" i="1"/>
  <c r="W2802" i="1"/>
  <c r="W2803" i="1"/>
  <c r="W2804" i="1"/>
  <c r="W2805" i="1"/>
  <c r="W2806" i="1"/>
  <c r="W2807" i="1"/>
  <c r="W2808" i="1"/>
  <c r="W2809" i="1"/>
  <c r="W2810" i="1"/>
  <c r="W2811" i="1"/>
  <c r="W2812" i="1"/>
  <c r="W2813" i="1"/>
  <c r="W2814" i="1"/>
  <c r="W2815" i="1"/>
  <c r="W2816" i="1"/>
  <c r="W2817" i="1"/>
  <c r="W2818" i="1"/>
  <c r="W2819" i="1"/>
  <c r="W2820" i="1"/>
  <c r="W2821" i="1"/>
  <c r="W2822" i="1"/>
  <c r="W2823" i="1"/>
  <c r="W2824" i="1"/>
  <c r="W2825" i="1"/>
  <c r="W2826" i="1"/>
  <c r="W2827" i="1"/>
  <c r="W2828" i="1"/>
  <c r="W2829" i="1"/>
  <c r="W2830" i="1"/>
  <c r="W2831" i="1"/>
  <c r="W2832" i="1"/>
  <c r="W2833" i="1"/>
  <c r="W2834" i="1"/>
  <c r="W2835" i="1"/>
  <c r="W2836" i="1"/>
  <c r="W2837" i="1"/>
  <c r="W2838" i="1"/>
  <c r="W2839" i="1"/>
  <c r="W2840" i="1"/>
  <c r="W2841" i="1"/>
  <c r="W2842" i="1"/>
  <c r="W2843" i="1"/>
  <c r="W2844" i="1"/>
  <c r="W2845" i="1"/>
  <c r="W2846" i="1"/>
  <c r="W2847" i="1"/>
  <c r="W2848" i="1"/>
  <c r="W2849" i="1"/>
  <c r="W2850" i="1"/>
  <c r="W2851" i="1"/>
  <c r="W2852" i="1"/>
  <c r="W2853" i="1"/>
  <c r="W2854" i="1"/>
  <c r="W2855" i="1"/>
  <c r="W2856" i="1"/>
  <c r="W2857" i="1"/>
  <c r="W2858" i="1"/>
  <c r="W2859" i="1"/>
  <c r="W2860" i="1"/>
  <c r="W2861" i="1"/>
  <c r="W2862" i="1"/>
  <c r="W2863" i="1"/>
  <c r="W2864" i="1"/>
  <c r="W2865" i="1"/>
  <c r="W2866" i="1"/>
  <c r="W2867" i="1"/>
  <c r="W2868" i="1"/>
  <c r="W2869" i="1"/>
  <c r="W2870" i="1"/>
  <c r="W2871" i="1"/>
  <c r="W2872" i="1"/>
  <c r="W2873" i="1"/>
  <c r="W2874" i="1"/>
  <c r="W2875" i="1"/>
  <c r="W2876" i="1"/>
  <c r="W2877" i="1"/>
  <c r="W2878" i="1"/>
  <c r="W2879" i="1"/>
  <c r="W2880" i="1"/>
  <c r="W2881" i="1"/>
  <c r="W2882" i="1"/>
  <c r="W2883" i="1"/>
  <c r="W2884" i="1"/>
  <c r="W2885" i="1"/>
  <c r="W2886" i="1"/>
  <c r="W2887" i="1"/>
  <c r="W2888" i="1"/>
  <c r="W2889" i="1"/>
  <c r="W2890" i="1"/>
  <c r="W2891" i="1"/>
  <c r="W2892" i="1"/>
  <c r="W2893" i="1"/>
  <c r="W2894" i="1"/>
  <c r="W2895" i="1"/>
  <c r="W2896" i="1"/>
  <c r="W2897" i="1"/>
  <c r="W2898" i="1"/>
  <c r="W2899" i="1"/>
  <c r="W2900" i="1"/>
  <c r="W2901" i="1"/>
  <c r="W2902" i="1"/>
  <c r="W2903" i="1"/>
  <c r="W2904" i="1"/>
  <c r="W2905" i="1"/>
  <c r="W2906" i="1"/>
  <c r="W2907" i="1"/>
  <c r="W2908" i="1"/>
  <c r="W2909" i="1"/>
  <c r="W2910" i="1"/>
  <c r="W2911" i="1"/>
  <c r="W2912" i="1"/>
  <c r="W2913" i="1"/>
  <c r="W2914" i="1"/>
  <c r="W2915" i="1"/>
  <c r="W2916" i="1"/>
  <c r="W2917" i="1"/>
  <c r="W2918" i="1"/>
  <c r="W2919" i="1"/>
  <c r="W2920" i="1"/>
  <c r="W2921" i="1"/>
  <c r="W2922" i="1"/>
  <c r="W2923" i="1"/>
  <c r="W2924" i="1"/>
  <c r="W2925" i="1"/>
  <c r="W2926" i="1"/>
  <c r="W2927" i="1"/>
  <c r="W2928" i="1"/>
  <c r="W2929" i="1"/>
  <c r="W2930" i="1"/>
  <c r="W2931" i="1"/>
  <c r="W2932" i="1"/>
  <c r="W2933" i="1"/>
  <c r="W2934" i="1"/>
  <c r="W2935" i="1"/>
  <c r="W2936" i="1"/>
  <c r="W2937" i="1"/>
  <c r="W2938" i="1"/>
  <c r="W2939" i="1"/>
  <c r="W2940" i="1"/>
  <c r="W2941" i="1"/>
  <c r="W2942" i="1"/>
  <c r="W2943" i="1"/>
  <c r="W2944" i="1"/>
  <c r="W2945" i="1"/>
  <c r="W2946" i="1"/>
  <c r="W2947" i="1"/>
  <c r="W2948" i="1"/>
  <c r="W2949" i="1"/>
  <c r="W2950" i="1"/>
  <c r="W2951" i="1"/>
  <c r="W2952" i="1"/>
  <c r="W2953" i="1"/>
  <c r="W2954" i="1"/>
  <c r="W2955" i="1"/>
  <c r="W2956" i="1"/>
  <c r="W2957" i="1"/>
  <c r="W2958" i="1"/>
  <c r="W2959" i="1"/>
  <c r="W2960" i="1"/>
  <c r="W2961" i="1"/>
  <c r="W2962" i="1"/>
  <c r="W2963" i="1"/>
  <c r="W2964" i="1"/>
  <c r="W2965" i="1"/>
  <c r="W2966" i="1"/>
  <c r="W2967" i="1"/>
  <c r="W2968" i="1"/>
  <c r="W2969" i="1"/>
  <c r="W2970" i="1"/>
  <c r="W2971" i="1"/>
  <c r="W2972" i="1"/>
  <c r="W2973" i="1"/>
  <c r="W2974" i="1"/>
  <c r="W2975" i="1"/>
  <c r="W2976" i="1"/>
  <c r="W2977" i="1"/>
  <c r="W2978" i="1"/>
  <c r="W2979" i="1"/>
  <c r="W2980" i="1"/>
  <c r="W2981" i="1"/>
  <c r="W2982" i="1"/>
  <c r="W2983" i="1"/>
  <c r="W2984" i="1"/>
  <c r="W2985" i="1"/>
  <c r="W2986" i="1"/>
  <c r="W2987" i="1"/>
  <c r="W2988" i="1"/>
  <c r="W2989" i="1"/>
  <c r="W2990" i="1"/>
  <c r="W2991" i="1"/>
  <c r="W2992" i="1"/>
  <c r="W2993" i="1"/>
  <c r="W2994" i="1"/>
  <c r="W2995" i="1"/>
  <c r="W2996" i="1"/>
  <c r="W2997" i="1"/>
  <c r="W2998" i="1"/>
  <c r="W2999" i="1"/>
  <c r="W3000" i="1"/>
  <c r="W3001" i="1"/>
  <c r="W3002" i="1"/>
  <c r="W3003" i="1"/>
  <c r="W3004" i="1"/>
  <c r="W3005" i="1"/>
  <c r="W3006" i="1"/>
  <c r="W3007" i="1"/>
  <c r="W3008" i="1"/>
  <c r="W3009" i="1"/>
  <c r="W3010" i="1"/>
  <c r="W3011" i="1"/>
  <c r="W3012" i="1"/>
  <c r="W3013" i="1"/>
  <c r="W3014" i="1"/>
  <c r="W3015" i="1"/>
  <c r="W3016" i="1"/>
  <c r="W3017" i="1"/>
  <c r="W3018" i="1"/>
  <c r="W3019" i="1"/>
  <c r="W3020" i="1"/>
  <c r="W3021" i="1"/>
  <c r="W3022" i="1"/>
  <c r="W3023" i="1"/>
  <c r="W3024" i="1"/>
  <c r="W3025" i="1"/>
  <c r="W3026" i="1"/>
  <c r="W3027" i="1"/>
  <c r="W3028" i="1"/>
  <c r="W3029" i="1"/>
  <c r="W3030" i="1"/>
  <c r="W3031" i="1"/>
  <c r="W3032" i="1"/>
  <c r="W3033" i="1"/>
  <c r="W3034" i="1"/>
  <c r="W3035" i="1"/>
  <c r="W3036" i="1"/>
  <c r="W3037" i="1"/>
  <c r="W3038" i="1"/>
  <c r="W3039" i="1"/>
  <c r="W3040" i="1"/>
  <c r="W3041" i="1"/>
  <c r="W3042" i="1"/>
  <c r="W3043" i="1"/>
  <c r="W3044" i="1"/>
  <c r="W3045" i="1"/>
  <c r="W3046" i="1"/>
  <c r="W3047" i="1"/>
  <c r="W3048" i="1"/>
  <c r="W3049" i="1"/>
  <c r="W3050" i="1"/>
  <c r="W3051" i="1"/>
  <c r="W3052" i="1"/>
  <c r="W3053" i="1"/>
  <c r="W3054" i="1"/>
  <c r="W3055" i="1"/>
  <c r="W3056" i="1"/>
  <c r="W3057" i="1"/>
  <c r="W3058" i="1"/>
  <c r="W3059" i="1"/>
  <c r="W3060" i="1"/>
  <c r="W3061" i="1"/>
  <c r="W3062" i="1"/>
  <c r="W3063" i="1"/>
  <c r="W3064" i="1"/>
  <c r="W3065" i="1"/>
  <c r="W3066" i="1"/>
  <c r="W3067" i="1"/>
  <c r="W3068" i="1"/>
  <c r="W3069" i="1"/>
  <c r="W3070" i="1"/>
  <c r="W3071" i="1"/>
  <c r="W3072" i="1"/>
  <c r="W3073" i="1"/>
  <c r="W3074" i="1"/>
  <c r="W3075" i="1"/>
  <c r="W3076" i="1"/>
  <c r="W3077" i="1"/>
  <c r="W3078" i="1"/>
  <c r="W3079" i="1"/>
  <c r="W3080" i="1"/>
  <c r="W3081" i="1"/>
  <c r="W3082" i="1"/>
  <c r="W3083" i="1"/>
  <c r="W3084" i="1"/>
  <c r="W3085" i="1"/>
  <c r="W3086" i="1"/>
  <c r="W3087" i="1"/>
  <c r="W3088" i="1"/>
  <c r="W3089" i="1"/>
  <c r="W3090" i="1"/>
  <c r="W3091" i="1"/>
  <c r="W3092" i="1"/>
  <c r="W3093" i="1"/>
  <c r="W3094" i="1"/>
  <c r="W3095" i="1"/>
  <c r="W3096" i="1"/>
  <c r="W3097" i="1"/>
  <c r="W3098" i="1"/>
  <c r="W3099" i="1"/>
  <c r="W3100" i="1"/>
  <c r="W3101" i="1"/>
  <c r="W3102" i="1"/>
  <c r="W3103" i="1"/>
  <c r="W3104" i="1"/>
  <c r="W3105" i="1"/>
  <c r="W3106" i="1"/>
  <c r="W3107" i="1"/>
  <c r="W3108" i="1"/>
  <c r="W3109" i="1"/>
  <c r="W3110" i="1"/>
  <c r="W3111" i="1"/>
  <c r="W3112" i="1"/>
  <c r="W3113" i="1"/>
  <c r="W3114" i="1"/>
  <c r="W3115" i="1"/>
  <c r="W3116" i="1"/>
  <c r="W3117" i="1"/>
  <c r="W3118" i="1"/>
  <c r="W3119" i="1"/>
  <c r="W3120" i="1"/>
  <c r="W3121" i="1"/>
  <c r="W3122" i="1"/>
  <c r="W3123" i="1"/>
  <c r="W3124" i="1"/>
  <c r="W3125" i="1"/>
  <c r="W3126" i="1"/>
  <c r="W3127" i="1"/>
  <c r="W3128" i="1"/>
  <c r="W3129" i="1"/>
  <c r="W3130" i="1"/>
  <c r="W3131" i="1"/>
  <c r="W3132" i="1"/>
  <c r="W3133" i="1"/>
  <c r="W3134" i="1"/>
  <c r="W3135" i="1"/>
  <c r="W3136" i="1"/>
  <c r="W3137" i="1"/>
  <c r="W3138" i="1"/>
  <c r="W3139" i="1"/>
  <c r="W3140" i="1"/>
  <c r="W3141" i="1"/>
  <c r="W3142" i="1"/>
  <c r="W3143" i="1"/>
  <c r="W3144" i="1"/>
  <c r="W3145" i="1"/>
  <c r="W3146" i="1"/>
  <c r="W3147" i="1"/>
  <c r="W3148" i="1"/>
  <c r="W3149" i="1"/>
  <c r="W3150" i="1"/>
  <c r="W3151" i="1"/>
  <c r="W3152" i="1"/>
  <c r="W3153" i="1"/>
  <c r="W3154" i="1"/>
  <c r="W3155" i="1"/>
  <c r="W3156" i="1"/>
  <c r="W3157" i="1"/>
  <c r="W3158" i="1"/>
  <c r="W3159" i="1"/>
  <c r="W3160" i="1"/>
  <c r="W3161" i="1"/>
  <c r="W3162" i="1"/>
  <c r="W3163" i="1"/>
  <c r="W3164" i="1"/>
  <c r="W3165" i="1"/>
  <c r="W3166" i="1"/>
  <c r="W3167" i="1"/>
  <c r="W3168" i="1"/>
  <c r="W3169" i="1"/>
  <c r="W3170" i="1"/>
  <c r="W3171" i="1"/>
  <c r="W3172" i="1"/>
  <c r="W3173" i="1"/>
  <c r="W3174" i="1"/>
  <c r="W3175" i="1"/>
  <c r="W3176" i="1"/>
  <c r="W3177" i="1"/>
  <c r="W3178" i="1"/>
  <c r="W3179" i="1"/>
  <c r="W3180" i="1"/>
  <c r="W3181" i="1"/>
  <c r="W3182" i="1"/>
  <c r="W3183" i="1"/>
  <c r="W3184" i="1"/>
  <c r="W3185" i="1"/>
  <c r="W3186" i="1"/>
  <c r="W3187" i="1"/>
  <c r="W3188" i="1"/>
  <c r="W3189" i="1"/>
  <c r="W3190" i="1"/>
  <c r="W3191" i="1"/>
  <c r="W3192" i="1"/>
  <c r="W3193" i="1"/>
  <c r="W3194" i="1"/>
  <c r="W3195" i="1"/>
  <c r="W3196" i="1"/>
  <c r="W3197" i="1"/>
  <c r="W3198" i="1"/>
  <c r="W3199" i="1"/>
  <c r="W3200" i="1"/>
  <c r="W3201" i="1"/>
  <c r="W3202" i="1"/>
  <c r="W3203" i="1"/>
  <c r="W3204" i="1"/>
  <c r="W3205" i="1"/>
  <c r="W3206" i="1"/>
  <c r="W3207" i="1"/>
  <c r="W3208" i="1"/>
  <c r="W3209" i="1"/>
  <c r="W3210" i="1"/>
  <c r="W3211" i="1"/>
  <c r="W3212" i="1"/>
  <c r="W3213" i="1"/>
  <c r="W3214" i="1"/>
  <c r="W3215" i="1"/>
  <c r="W3216" i="1"/>
  <c r="W3217" i="1"/>
  <c r="W3218" i="1"/>
  <c r="W3219" i="1"/>
  <c r="W3220" i="1"/>
  <c r="W3221" i="1"/>
  <c r="W3222" i="1"/>
  <c r="W3223" i="1"/>
  <c r="W3224" i="1"/>
  <c r="W3225" i="1"/>
  <c r="W3226" i="1"/>
  <c r="W3227" i="1"/>
  <c r="W3228" i="1"/>
  <c r="W3229" i="1"/>
  <c r="W3230" i="1"/>
  <c r="W3231" i="1"/>
  <c r="W3232" i="1"/>
  <c r="W3233" i="1"/>
  <c r="W3234" i="1"/>
  <c r="W3235" i="1"/>
  <c r="W3236" i="1"/>
  <c r="W3237" i="1"/>
  <c r="W3238" i="1"/>
  <c r="W3239" i="1"/>
  <c r="W3240" i="1"/>
  <c r="W3241" i="1"/>
  <c r="W3242" i="1"/>
  <c r="W3243" i="1"/>
  <c r="W3244" i="1"/>
  <c r="W3245" i="1"/>
  <c r="W3246" i="1"/>
  <c r="W3247" i="1"/>
  <c r="W3248" i="1"/>
  <c r="W3249" i="1"/>
  <c r="W3250" i="1"/>
  <c r="W3251" i="1"/>
  <c r="W3252" i="1"/>
  <c r="W3253" i="1"/>
  <c r="W3254" i="1"/>
  <c r="W3255" i="1"/>
  <c r="W3256" i="1"/>
  <c r="W3257" i="1"/>
  <c r="W3258" i="1"/>
  <c r="W3259" i="1"/>
  <c r="W3260" i="1"/>
  <c r="W3261" i="1"/>
  <c r="W3262" i="1"/>
  <c r="W3263" i="1"/>
  <c r="W3264" i="1"/>
  <c r="W3265" i="1"/>
  <c r="W3266" i="1"/>
  <c r="W3267" i="1"/>
  <c r="W3268" i="1"/>
  <c r="W3269" i="1"/>
  <c r="W3270" i="1"/>
  <c r="W3271" i="1"/>
  <c r="W3272" i="1"/>
  <c r="W3273" i="1"/>
  <c r="W3274" i="1"/>
  <c r="W3275" i="1"/>
  <c r="W3276" i="1"/>
  <c r="W3277" i="1"/>
  <c r="W3278" i="1"/>
  <c r="W3279" i="1"/>
  <c r="W3280" i="1"/>
  <c r="W3281" i="1"/>
  <c r="W3282" i="1"/>
  <c r="W3283" i="1"/>
  <c r="W3284" i="1"/>
  <c r="W3285" i="1"/>
  <c r="W3286" i="1"/>
  <c r="W3287" i="1"/>
  <c r="W3288" i="1"/>
  <c r="W3289" i="1"/>
  <c r="W3290" i="1"/>
  <c r="W3291" i="1"/>
  <c r="W3292" i="1"/>
  <c r="W3293" i="1"/>
  <c r="W3294" i="1"/>
  <c r="W3295" i="1"/>
  <c r="W3296" i="1"/>
  <c r="W3297" i="1"/>
  <c r="W3298" i="1"/>
  <c r="W3299" i="1"/>
  <c r="W3300" i="1"/>
  <c r="W3301" i="1"/>
  <c r="W3302" i="1"/>
  <c r="W3303" i="1"/>
  <c r="W3304" i="1"/>
  <c r="W3305" i="1"/>
  <c r="W3306" i="1"/>
  <c r="W3307" i="1"/>
  <c r="W3308" i="1"/>
  <c r="W3309" i="1"/>
  <c r="W3310" i="1"/>
  <c r="W3311" i="1"/>
  <c r="W3312" i="1"/>
  <c r="W3313" i="1"/>
  <c r="W3314" i="1"/>
  <c r="W3315" i="1"/>
  <c r="W3316" i="1"/>
  <c r="W3317" i="1"/>
  <c r="W3318" i="1"/>
  <c r="W3319" i="1"/>
  <c r="W3320" i="1"/>
  <c r="W3321" i="1"/>
  <c r="W3322" i="1"/>
  <c r="W3323" i="1"/>
  <c r="W3324" i="1"/>
  <c r="W3325" i="1"/>
  <c r="W3326" i="1"/>
  <c r="W3327" i="1"/>
  <c r="W3328" i="1"/>
  <c r="W3329" i="1"/>
  <c r="W3330" i="1"/>
  <c r="W3331" i="1"/>
  <c r="W3332" i="1"/>
  <c r="W3333" i="1"/>
  <c r="W3334" i="1"/>
  <c r="W3335" i="1"/>
  <c r="W3336" i="1"/>
  <c r="W3337" i="1"/>
  <c r="W3338" i="1"/>
  <c r="W3339" i="1"/>
  <c r="W3340" i="1"/>
  <c r="W3341" i="1"/>
  <c r="W3342" i="1"/>
  <c r="W3343" i="1"/>
  <c r="W3344" i="1"/>
  <c r="W3345" i="1"/>
  <c r="W3346" i="1"/>
  <c r="W3347" i="1"/>
  <c r="W3348" i="1"/>
  <c r="W3349" i="1"/>
  <c r="W3350" i="1"/>
  <c r="W3351" i="1"/>
  <c r="W3352" i="1"/>
  <c r="W3353" i="1"/>
  <c r="W3354" i="1"/>
  <c r="W3355" i="1"/>
  <c r="W3356" i="1"/>
  <c r="W3357" i="1"/>
  <c r="W3358" i="1"/>
  <c r="W3359" i="1"/>
  <c r="W3360" i="1"/>
  <c r="W3361" i="1"/>
  <c r="W3362" i="1"/>
  <c r="W3363" i="1"/>
  <c r="W3364" i="1"/>
  <c r="W3365" i="1"/>
  <c r="W3366" i="1"/>
  <c r="W3367" i="1"/>
  <c r="W3368" i="1"/>
  <c r="W3369" i="1"/>
  <c r="W3370" i="1"/>
  <c r="W3371" i="1"/>
  <c r="W3372" i="1"/>
  <c r="W3373" i="1"/>
  <c r="W3374" i="1"/>
  <c r="W3375" i="1"/>
  <c r="W3376" i="1"/>
  <c r="W3377" i="1"/>
  <c r="W3378" i="1"/>
  <c r="W3379" i="1"/>
  <c r="W3380" i="1"/>
  <c r="W3381" i="1"/>
  <c r="W3382" i="1"/>
  <c r="W3383" i="1"/>
  <c r="W3384" i="1"/>
  <c r="W3385" i="1"/>
  <c r="W3386" i="1"/>
  <c r="W3387" i="1"/>
  <c r="W3388" i="1"/>
  <c r="W3389" i="1"/>
  <c r="W3390" i="1"/>
  <c r="W3391" i="1"/>
  <c r="W3392" i="1"/>
  <c r="W3393" i="1"/>
  <c r="W3394" i="1"/>
  <c r="W3395" i="1"/>
  <c r="W3396" i="1"/>
  <c r="W3397" i="1"/>
  <c r="W3398" i="1"/>
  <c r="W3399" i="1"/>
  <c r="W3400" i="1"/>
  <c r="W3401" i="1"/>
  <c r="W3402" i="1"/>
  <c r="W3403" i="1"/>
  <c r="W3404" i="1"/>
  <c r="W3405" i="1"/>
  <c r="W3406" i="1"/>
  <c r="W3407" i="1"/>
  <c r="W3408" i="1"/>
  <c r="W3409" i="1"/>
  <c r="W3410" i="1"/>
  <c r="W3411" i="1"/>
  <c r="W3412" i="1"/>
  <c r="W3413" i="1"/>
  <c r="W3414" i="1"/>
  <c r="W3415" i="1"/>
  <c r="W3416" i="1"/>
  <c r="W3417" i="1"/>
  <c r="W3418" i="1"/>
  <c r="W3419" i="1"/>
  <c r="W3420" i="1"/>
  <c r="W3421" i="1"/>
  <c r="W3422" i="1"/>
  <c r="W3423" i="1"/>
  <c r="W3424" i="1"/>
  <c r="W3425" i="1"/>
  <c r="W3426" i="1"/>
  <c r="W3427" i="1"/>
  <c r="W3428" i="1"/>
  <c r="W3429" i="1"/>
  <c r="W3430" i="1"/>
  <c r="W3431" i="1"/>
  <c r="W3432" i="1"/>
  <c r="W3433" i="1"/>
  <c r="W3434" i="1"/>
  <c r="W3435" i="1"/>
  <c r="W3436" i="1"/>
  <c r="W3437" i="1"/>
  <c r="W3438" i="1"/>
  <c r="W3439" i="1"/>
  <c r="W3440" i="1"/>
  <c r="W3441" i="1"/>
  <c r="W3442" i="1"/>
  <c r="W3443" i="1"/>
  <c r="W3444" i="1"/>
  <c r="W3445" i="1"/>
  <c r="W3446" i="1"/>
  <c r="W3447" i="1"/>
  <c r="W3448" i="1"/>
  <c r="W3449" i="1"/>
  <c r="W3450" i="1"/>
  <c r="W3451" i="1"/>
  <c r="W3452" i="1"/>
  <c r="W3453" i="1"/>
  <c r="W3454" i="1"/>
  <c r="W3455" i="1"/>
  <c r="W3456" i="1"/>
  <c r="W3457" i="1"/>
  <c r="W3458" i="1"/>
  <c r="W3459" i="1"/>
  <c r="W3460" i="1"/>
  <c r="W3461" i="1"/>
  <c r="W3462" i="1"/>
  <c r="W3463" i="1"/>
  <c r="W3464" i="1"/>
  <c r="W3465" i="1"/>
  <c r="W3466" i="1"/>
  <c r="W3467" i="1"/>
  <c r="W3468" i="1"/>
  <c r="W3469" i="1"/>
  <c r="W3470" i="1"/>
  <c r="W3471" i="1"/>
  <c r="W3472" i="1"/>
  <c r="W3473" i="1"/>
  <c r="W3474" i="1"/>
  <c r="W3475" i="1"/>
  <c r="W3476" i="1"/>
  <c r="W3477" i="1"/>
  <c r="W3478" i="1"/>
  <c r="W3479" i="1"/>
  <c r="W3480" i="1"/>
  <c r="W3481" i="1"/>
  <c r="W3482" i="1"/>
  <c r="W3483" i="1"/>
  <c r="W3484" i="1"/>
  <c r="W3485" i="1"/>
  <c r="W3486" i="1"/>
  <c r="W3487" i="1"/>
  <c r="W3488" i="1"/>
  <c r="W3489" i="1"/>
  <c r="W3490" i="1"/>
  <c r="W3491" i="1"/>
  <c r="W3492" i="1"/>
  <c r="W3493" i="1"/>
  <c r="W3494" i="1"/>
  <c r="W3495" i="1"/>
  <c r="W3496" i="1"/>
  <c r="W3497" i="1"/>
  <c r="W3498" i="1"/>
  <c r="W3499" i="1"/>
  <c r="W3500" i="1"/>
  <c r="W3501" i="1"/>
  <c r="W3502" i="1"/>
  <c r="W3503" i="1"/>
  <c r="W3504" i="1"/>
  <c r="W3505" i="1"/>
  <c r="W3506" i="1"/>
  <c r="W3507" i="1"/>
  <c r="W3508" i="1"/>
  <c r="W3509" i="1"/>
  <c r="W3510" i="1"/>
  <c r="W3511" i="1"/>
  <c r="W3512" i="1"/>
  <c r="W3513" i="1"/>
  <c r="W3514" i="1"/>
  <c r="W3515" i="1"/>
  <c r="W3516" i="1"/>
  <c r="W3517" i="1"/>
  <c r="W3518" i="1"/>
  <c r="W3519" i="1"/>
  <c r="W3520" i="1"/>
  <c r="W3521" i="1"/>
  <c r="W3522" i="1"/>
  <c r="W3523" i="1"/>
  <c r="W3524" i="1"/>
  <c r="W3525" i="1"/>
  <c r="W3526" i="1"/>
  <c r="W3527" i="1"/>
  <c r="W3528" i="1"/>
  <c r="W3529" i="1"/>
  <c r="W3530" i="1"/>
  <c r="W3531" i="1"/>
  <c r="W3532" i="1"/>
  <c r="W3533" i="1"/>
  <c r="W3534" i="1"/>
  <c r="W3535" i="1"/>
  <c r="W3536" i="1"/>
  <c r="W3537" i="1"/>
  <c r="W3538" i="1"/>
  <c r="W3539" i="1"/>
  <c r="W3540" i="1"/>
  <c r="W3541" i="1"/>
  <c r="W3542" i="1"/>
  <c r="W3543" i="1"/>
  <c r="W3544" i="1"/>
  <c r="W3545" i="1"/>
  <c r="W3546" i="1"/>
  <c r="W3547" i="1"/>
  <c r="W3548" i="1"/>
  <c r="W3549" i="1"/>
  <c r="W3550" i="1"/>
  <c r="W3551" i="1"/>
  <c r="W3552" i="1"/>
  <c r="W3553" i="1"/>
  <c r="W3554" i="1"/>
  <c r="W3555" i="1"/>
  <c r="W3556" i="1"/>
  <c r="W3557" i="1"/>
  <c r="W3558" i="1"/>
  <c r="W3559" i="1"/>
  <c r="W3560" i="1"/>
  <c r="W3561" i="1"/>
  <c r="W3562" i="1"/>
  <c r="W3563" i="1"/>
  <c r="W3564" i="1"/>
  <c r="W3565" i="1"/>
  <c r="W3566" i="1"/>
  <c r="W3567" i="1"/>
  <c r="W3568" i="1"/>
  <c r="W3569" i="1"/>
  <c r="W3570" i="1"/>
  <c r="W3571" i="1"/>
  <c r="W3572" i="1"/>
  <c r="W3573" i="1"/>
  <c r="W3574" i="1"/>
  <c r="W3575" i="1"/>
  <c r="W3576" i="1"/>
  <c r="W3577" i="1"/>
  <c r="W3578" i="1"/>
  <c r="W3579" i="1"/>
  <c r="W3580" i="1"/>
  <c r="W3581" i="1"/>
  <c r="W3582" i="1"/>
  <c r="W3583" i="1"/>
  <c r="W3584" i="1"/>
  <c r="W3585" i="1"/>
  <c r="W3586" i="1"/>
  <c r="W3587" i="1"/>
  <c r="W3588" i="1"/>
  <c r="W3589" i="1"/>
  <c r="W3590" i="1"/>
  <c r="W3591" i="1"/>
  <c r="W3592" i="1"/>
  <c r="W3593" i="1"/>
  <c r="W3594" i="1"/>
  <c r="W3595" i="1"/>
  <c r="W3596" i="1"/>
  <c r="W3597" i="1"/>
  <c r="W3598" i="1"/>
  <c r="W3599" i="1"/>
  <c r="W3600" i="1"/>
  <c r="W3601" i="1"/>
  <c r="W3602" i="1"/>
  <c r="W3603" i="1"/>
  <c r="W3604" i="1"/>
  <c r="W3605" i="1"/>
  <c r="W3606" i="1"/>
  <c r="W3607" i="1"/>
  <c r="W3608" i="1"/>
  <c r="W3609" i="1"/>
  <c r="W3610" i="1"/>
  <c r="W3611" i="1"/>
  <c r="W3612" i="1"/>
  <c r="W3613" i="1"/>
  <c r="W3614" i="1"/>
  <c r="W3615" i="1"/>
  <c r="W3616" i="1"/>
  <c r="W3617" i="1"/>
  <c r="W3618" i="1"/>
  <c r="W3619" i="1"/>
  <c r="W3620" i="1"/>
  <c r="W3621" i="1"/>
  <c r="W3622" i="1"/>
  <c r="W3623" i="1"/>
  <c r="W3624" i="1"/>
  <c r="W3625" i="1"/>
  <c r="W3626" i="1"/>
  <c r="W3627" i="1"/>
  <c r="W3628" i="1"/>
  <c r="W3629" i="1"/>
  <c r="W3630" i="1"/>
  <c r="W3631" i="1"/>
  <c r="W3632" i="1"/>
  <c r="W3633" i="1"/>
  <c r="W3634" i="1"/>
  <c r="W3635" i="1"/>
  <c r="W3636" i="1"/>
  <c r="W3637" i="1"/>
  <c r="W3638" i="1"/>
  <c r="W3639" i="1"/>
  <c r="W3640" i="1"/>
  <c r="W3641" i="1"/>
  <c r="W3642" i="1"/>
  <c r="W3643" i="1"/>
  <c r="W3644" i="1"/>
  <c r="W3645" i="1"/>
  <c r="W3646" i="1"/>
  <c r="W3647" i="1"/>
  <c r="W3648" i="1"/>
  <c r="W3649" i="1"/>
  <c r="W3650" i="1"/>
  <c r="W3651" i="1"/>
  <c r="W3652" i="1"/>
  <c r="W3653" i="1"/>
  <c r="W3654" i="1"/>
  <c r="W3655" i="1"/>
  <c r="W3656" i="1"/>
  <c r="W3657" i="1"/>
  <c r="W3658" i="1"/>
  <c r="W3659" i="1"/>
  <c r="W3660" i="1"/>
  <c r="W3661" i="1"/>
  <c r="W3662" i="1"/>
  <c r="W3663" i="1"/>
  <c r="W3664" i="1"/>
  <c r="W3665" i="1"/>
  <c r="W3666" i="1"/>
  <c r="W3667" i="1"/>
  <c r="W3668" i="1"/>
  <c r="W3669" i="1"/>
  <c r="W3670" i="1"/>
  <c r="W3671" i="1"/>
  <c r="W3672" i="1"/>
  <c r="W3673" i="1"/>
  <c r="W3674" i="1"/>
  <c r="W3675" i="1"/>
  <c r="W3676" i="1"/>
  <c r="W3677" i="1"/>
  <c r="W3678" i="1"/>
  <c r="W3679" i="1"/>
  <c r="W3680" i="1"/>
  <c r="W3681" i="1"/>
  <c r="W3682" i="1"/>
  <c r="W3683" i="1"/>
  <c r="W3684" i="1"/>
  <c r="W3685" i="1"/>
  <c r="W3686" i="1"/>
  <c r="W3687" i="1"/>
  <c r="W3688" i="1"/>
  <c r="W3689" i="1"/>
  <c r="W3690" i="1"/>
  <c r="W3691" i="1"/>
  <c r="W3692" i="1"/>
  <c r="W3693" i="1"/>
  <c r="W3694" i="1"/>
  <c r="W3695" i="1"/>
  <c r="W3696" i="1"/>
  <c r="W3697" i="1"/>
  <c r="W3698" i="1"/>
  <c r="W3699" i="1"/>
  <c r="W3700" i="1"/>
  <c r="W3701" i="1"/>
  <c r="W3702" i="1"/>
  <c r="W3703" i="1"/>
  <c r="W3704" i="1"/>
  <c r="W3705" i="1"/>
  <c r="W3706" i="1"/>
  <c r="W3707" i="1"/>
  <c r="W3708" i="1"/>
  <c r="W3709" i="1"/>
  <c r="W3710" i="1"/>
  <c r="W3711" i="1"/>
  <c r="W3712" i="1"/>
  <c r="W3713" i="1"/>
  <c r="W3714" i="1"/>
  <c r="W3715" i="1"/>
  <c r="W3716" i="1"/>
  <c r="W3717" i="1"/>
  <c r="W3718" i="1"/>
  <c r="W3719" i="1"/>
  <c r="W3720" i="1"/>
  <c r="W3721" i="1"/>
  <c r="W3722" i="1"/>
  <c r="W3723" i="1"/>
  <c r="W3724" i="1"/>
  <c r="W3725" i="1"/>
  <c r="W3726" i="1"/>
  <c r="W3727" i="1"/>
  <c r="W3728" i="1"/>
  <c r="W3729" i="1"/>
  <c r="W3730" i="1"/>
  <c r="W3731" i="1"/>
  <c r="W3732" i="1"/>
  <c r="W3733" i="1"/>
  <c r="W3734" i="1"/>
  <c r="W3735" i="1"/>
  <c r="W3736" i="1"/>
  <c r="W3737" i="1"/>
  <c r="W3738" i="1"/>
  <c r="W3739" i="1"/>
  <c r="W3740" i="1"/>
  <c r="W3741" i="1"/>
  <c r="W3742" i="1"/>
  <c r="W3743" i="1"/>
  <c r="W3744" i="1"/>
  <c r="W3745" i="1"/>
  <c r="W3746" i="1"/>
  <c r="W3747" i="1"/>
  <c r="W3748" i="1"/>
  <c r="W3749" i="1"/>
  <c r="W3750" i="1"/>
  <c r="W3751" i="1"/>
  <c r="W3752" i="1"/>
  <c r="W3753" i="1"/>
  <c r="W3754" i="1"/>
  <c r="W3755" i="1"/>
  <c r="W3756" i="1"/>
  <c r="W3757" i="1"/>
  <c r="W3758" i="1"/>
  <c r="W3759" i="1"/>
  <c r="W3760" i="1"/>
  <c r="W3761" i="1"/>
  <c r="W3762" i="1"/>
  <c r="W3763" i="1"/>
  <c r="W3764" i="1"/>
  <c r="W3765" i="1"/>
  <c r="W3766" i="1"/>
  <c r="W3767" i="1"/>
  <c r="W3768" i="1"/>
  <c r="W3769" i="1"/>
  <c r="W3770" i="1"/>
  <c r="W3771" i="1"/>
  <c r="W3772" i="1"/>
  <c r="W3773" i="1"/>
  <c r="W3774" i="1"/>
  <c r="W3775" i="1"/>
  <c r="W3776" i="1"/>
  <c r="W3777" i="1"/>
  <c r="W3778" i="1"/>
  <c r="W3779" i="1"/>
  <c r="W3780" i="1"/>
  <c r="W3781" i="1"/>
  <c r="W3782" i="1"/>
  <c r="W3783" i="1"/>
  <c r="W3784" i="1"/>
  <c r="W3785" i="1"/>
  <c r="W3786" i="1"/>
  <c r="W3787" i="1"/>
  <c r="W3788" i="1"/>
  <c r="W3789" i="1"/>
  <c r="W3790" i="1"/>
  <c r="W3791" i="1"/>
  <c r="W3792" i="1"/>
  <c r="W3793" i="1"/>
  <c r="W3794" i="1"/>
  <c r="W3795" i="1"/>
  <c r="W3796" i="1"/>
  <c r="W3797" i="1"/>
  <c r="W3798" i="1"/>
  <c r="W3799" i="1"/>
  <c r="W3800" i="1"/>
  <c r="W3801" i="1"/>
  <c r="W3802" i="1"/>
  <c r="W3803" i="1"/>
  <c r="W3804" i="1"/>
  <c r="W3805" i="1"/>
  <c r="W3806" i="1"/>
  <c r="W3807" i="1"/>
  <c r="W3808" i="1"/>
  <c r="W3809" i="1"/>
  <c r="W3810" i="1"/>
  <c r="W3811" i="1"/>
  <c r="W3812" i="1"/>
  <c r="W3813" i="1"/>
  <c r="W3814" i="1"/>
  <c r="W3815" i="1"/>
  <c r="W3816" i="1"/>
  <c r="W3817" i="1"/>
  <c r="W3818" i="1"/>
  <c r="W3819" i="1"/>
  <c r="W3820" i="1"/>
  <c r="W3821" i="1"/>
  <c r="W3822" i="1"/>
  <c r="W3823" i="1"/>
  <c r="W3824" i="1"/>
  <c r="W3825" i="1"/>
  <c r="W3826" i="1"/>
  <c r="W3827" i="1"/>
  <c r="W3828" i="1"/>
  <c r="W3829" i="1"/>
  <c r="W3830" i="1"/>
  <c r="W3831" i="1"/>
  <c r="W3832" i="1"/>
  <c r="W3833" i="1"/>
  <c r="W3834" i="1"/>
  <c r="W3835" i="1"/>
  <c r="W3836" i="1"/>
  <c r="W3837" i="1"/>
  <c r="W3838" i="1"/>
  <c r="W3839" i="1"/>
  <c r="W3840" i="1"/>
  <c r="W3841" i="1"/>
  <c r="W3842" i="1"/>
  <c r="W3843" i="1"/>
  <c r="W3844" i="1"/>
  <c r="W3845" i="1"/>
  <c r="W3846" i="1"/>
  <c r="W3847" i="1"/>
  <c r="W3848" i="1"/>
  <c r="W3849" i="1"/>
  <c r="W3850" i="1"/>
  <c r="W3851" i="1"/>
  <c r="W3852" i="1"/>
  <c r="W3853" i="1"/>
  <c r="W3854" i="1"/>
  <c r="W3855" i="1"/>
  <c r="W3856" i="1"/>
  <c r="W3857" i="1"/>
  <c r="W3858" i="1"/>
  <c r="W3859" i="1"/>
  <c r="W3860" i="1"/>
  <c r="W3861" i="1"/>
  <c r="W3862" i="1"/>
  <c r="W3863" i="1"/>
  <c r="W3864" i="1"/>
  <c r="W3865" i="1"/>
  <c r="W3866" i="1"/>
  <c r="W3867" i="1"/>
  <c r="W3868" i="1"/>
  <c r="W3869" i="1"/>
  <c r="W3870" i="1"/>
  <c r="W3871" i="1"/>
  <c r="W3872" i="1"/>
  <c r="W3873" i="1"/>
  <c r="W3874" i="1"/>
  <c r="W3875" i="1"/>
  <c r="W3876" i="1"/>
  <c r="W3877" i="1"/>
  <c r="W3878" i="1"/>
  <c r="W3879" i="1"/>
  <c r="W3880" i="1"/>
  <c r="W3881" i="1"/>
  <c r="W3882" i="1"/>
  <c r="W3883" i="1"/>
  <c r="W3884" i="1"/>
  <c r="W3885" i="1"/>
  <c r="W3886" i="1"/>
  <c r="W3887" i="1"/>
  <c r="W3888" i="1"/>
  <c r="W3889" i="1"/>
  <c r="W3890" i="1"/>
  <c r="W3891" i="1"/>
  <c r="W3892" i="1"/>
  <c r="W3893" i="1"/>
  <c r="W3894" i="1"/>
  <c r="W3895" i="1"/>
  <c r="W3896" i="1"/>
  <c r="W3897" i="1"/>
  <c r="W3898" i="1"/>
  <c r="W3899" i="1"/>
  <c r="W3900" i="1"/>
  <c r="W3901" i="1"/>
  <c r="W3902" i="1"/>
  <c r="W3903" i="1"/>
  <c r="W3904" i="1"/>
  <c r="W3905" i="1"/>
  <c r="W3906" i="1"/>
  <c r="W3907" i="1"/>
  <c r="W3908" i="1"/>
  <c r="W3909" i="1"/>
  <c r="W3910" i="1"/>
  <c r="W3911" i="1"/>
  <c r="W3912" i="1"/>
  <c r="W3913" i="1"/>
  <c r="W3914" i="1"/>
  <c r="W3915" i="1"/>
  <c r="W3916" i="1"/>
  <c r="W3917" i="1"/>
  <c r="W3918" i="1"/>
  <c r="W3919" i="1"/>
  <c r="W3920" i="1"/>
  <c r="W3921" i="1"/>
  <c r="W3922" i="1"/>
  <c r="W3923" i="1"/>
  <c r="W3924" i="1"/>
  <c r="W3925" i="1"/>
  <c r="W3926" i="1"/>
  <c r="W3927" i="1"/>
  <c r="W3928" i="1"/>
  <c r="W3929" i="1"/>
  <c r="W3930" i="1"/>
  <c r="W3931" i="1"/>
  <c r="W3932" i="1"/>
  <c r="W3933" i="1"/>
  <c r="W3934" i="1"/>
  <c r="W3935" i="1"/>
  <c r="W3936" i="1"/>
  <c r="W3937" i="1"/>
  <c r="W3938" i="1"/>
  <c r="W3939" i="1"/>
  <c r="W3940" i="1"/>
  <c r="W3941" i="1"/>
  <c r="W3942" i="1"/>
  <c r="W3943" i="1"/>
  <c r="W3944" i="1"/>
  <c r="W3945" i="1"/>
  <c r="W3946" i="1"/>
  <c r="W3947" i="1"/>
  <c r="W3948" i="1"/>
  <c r="W3949" i="1"/>
  <c r="W3950" i="1"/>
  <c r="W3951" i="1"/>
  <c r="W3952" i="1"/>
  <c r="W3953" i="1"/>
  <c r="W3954" i="1"/>
  <c r="W3955" i="1"/>
  <c r="W3956" i="1"/>
  <c r="W3957" i="1"/>
  <c r="W3958" i="1"/>
  <c r="W3959" i="1"/>
  <c r="W3960" i="1"/>
  <c r="W3961" i="1"/>
  <c r="W3962" i="1"/>
  <c r="W3963" i="1"/>
  <c r="W3964" i="1"/>
  <c r="W3965" i="1"/>
  <c r="W3966" i="1"/>
  <c r="W3967" i="1"/>
  <c r="W3968" i="1"/>
  <c r="W3969" i="1"/>
  <c r="W3970" i="1"/>
  <c r="W3971" i="1"/>
  <c r="W3972" i="1"/>
  <c r="W3973" i="1"/>
  <c r="W3974" i="1"/>
  <c r="W3975" i="1"/>
  <c r="W3976" i="1"/>
  <c r="W3977" i="1"/>
  <c r="W3978" i="1"/>
  <c r="W3979" i="1"/>
  <c r="W3980" i="1"/>
  <c r="W3981" i="1"/>
  <c r="W3982" i="1"/>
  <c r="W3983" i="1"/>
  <c r="W3984" i="1"/>
  <c r="W3985" i="1"/>
  <c r="W3986" i="1"/>
  <c r="W3987" i="1"/>
  <c r="W3988" i="1"/>
  <c r="W3989" i="1"/>
  <c r="W3990" i="1"/>
  <c r="W3991" i="1"/>
  <c r="W3992" i="1"/>
  <c r="W3993" i="1"/>
  <c r="W3994" i="1"/>
  <c r="W3995" i="1"/>
  <c r="W3996" i="1"/>
  <c r="W3997" i="1"/>
  <c r="W3998" i="1"/>
  <c r="W3999" i="1"/>
  <c r="W4000" i="1"/>
  <c r="W4001" i="1"/>
  <c r="W4002" i="1"/>
  <c r="W4003" i="1"/>
  <c r="W4004" i="1"/>
  <c r="W4005" i="1"/>
  <c r="W4006" i="1"/>
  <c r="W4007" i="1"/>
  <c r="W4008" i="1"/>
  <c r="W4009" i="1"/>
  <c r="W4010" i="1"/>
  <c r="W4011" i="1"/>
  <c r="W4012" i="1"/>
  <c r="W4013" i="1"/>
  <c r="W4014" i="1"/>
  <c r="W4015" i="1"/>
  <c r="W4016" i="1"/>
  <c r="W4017" i="1"/>
  <c r="W4018" i="1"/>
  <c r="W4019" i="1"/>
  <c r="W4020" i="1"/>
  <c r="W4021" i="1"/>
  <c r="W4022" i="1"/>
  <c r="W4023" i="1"/>
  <c r="W4024" i="1"/>
  <c r="W4025" i="1"/>
  <c r="W4026" i="1"/>
  <c r="W4027" i="1"/>
  <c r="W4028" i="1"/>
  <c r="W4029" i="1"/>
  <c r="W4030" i="1"/>
  <c r="W4031" i="1"/>
  <c r="W4032" i="1"/>
  <c r="W4033" i="1"/>
  <c r="W4034" i="1"/>
  <c r="W4035" i="1"/>
  <c r="W4036" i="1"/>
  <c r="W4037" i="1"/>
  <c r="W4038" i="1"/>
  <c r="W4039" i="1"/>
  <c r="W4040" i="1"/>
  <c r="W4041" i="1"/>
  <c r="W4042" i="1"/>
  <c r="W4043" i="1"/>
  <c r="W4044" i="1"/>
  <c r="W4045" i="1"/>
  <c r="W4046" i="1"/>
  <c r="W4047" i="1"/>
  <c r="W4048" i="1"/>
  <c r="W4049" i="1"/>
  <c r="W4050" i="1"/>
  <c r="W4051" i="1"/>
  <c r="W4052" i="1"/>
  <c r="W4053" i="1"/>
  <c r="W4054" i="1"/>
  <c r="W4055" i="1"/>
  <c r="W4056" i="1"/>
  <c r="W4057" i="1"/>
  <c r="W4058" i="1"/>
  <c r="W4059" i="1"/>
  <c r="W4060" i="1"/>
  <c r="W4061" i="1"/>
  <c r="W4062" i="1"/>
  <c r="W4063" i="1"/>
  <c r="W4064" i="1"/>
  <c r="W4065" i="1"/>
  <c r="W4066" i="1"/>
  <c r="W4067" i="1"/>
  <c r="W4068" i="1"/>
  <c r="W4069" i="1"/>
  <c r="W4070" i="1"/>
  <c r="W4071" i="1"/>
  <c r="W4072" i="1"/>
  <c r="W4073" i="1"/>
  <c r="W4074" i="1"/>
  <c r="W4075" i="1"/>
  <c r="W4076" i="1"/>
  <c r="W4077" i="1"/>
  <c r="W4078" i="1"/>
  <c r="W4079" i="1"/>
  <c r="W4080" i="1"/>
  <c r="W4081" i="1"/>
  <c r="W4082" i="1"/>
  <c r="W4083" i="1"/>
  <c r="W4084" i="1"/>
  <c r="W4085" i="1"/>
  <c r="W4086" i="1"/>
  <c r="W4087" i="1"/>
  <c r="W4088" i="1"/>
  <c r="W4089" i="1"/>
  <c r="W4090" i="1"/>
  <c r="W4091" i="1"/>
  <c r="W4092" i="1"/>
  <c r="W4093" i="1"/>
  <c r="W4094" i="1"/>
  <c r="W4095" i="1"/>
  <c r="W4096" i="1"/>
  <c r="W4097" i="1"/>
  <c r="W4098" i="1"/>
  <c r="W4099" i="1"/>
  <c r="W4100" i="1"/>
  <c r="W4101" i="1"/>
  <c r="W4102" i="1"/>
  <c r="W4103" i="1"/>
  <c r="W4104" i="1"/>
  <c r="W4105" i="1"/>
  <c r="W4106" i="1"/>
  <c r="W4107" i="1"/>
  <c r="W4108" i="1"/>
  <c r="W4109" i="1"/>
  <c r="W4110" i="1"/>
  <c r="W4111" i="1"/>
  <c r="W4112" i="1"/>
  <c r="W4113" i="1"/>
  <c r="W4114" i="1"/>
  <c r="W4115" i="1"/>
  <c r="W4116" i="1"/>
  <c r="W4117" i="1"/>
  <c r="W4118" i="1"/>
  <c r="W4119" i="1"/>
  <c r="W4120" i="1"/>
  <c r="W4121" i="1"/>
  <c r="W4122" i="1"/>
  <c r="W4123" i="1"/>
  <c r="W4124" i="1"/>
  <c r="W4125" i="1"/>
  <c r="W4126" i="1"/>
  <c r="W4127" i="1"/>
  <c r="W4128" i="1"/>
  <c r="W4129" i="1"/>
  <c r="W4130" i="1"/>
  <c r="W4131" i="1"/>
  <c r="W4132" i="1"/>
  <c r="W4133" i="1"/>
  <c r="W4134" i="1"/>
  <c r="W4135" i="1"/>
  <c r="W4136" i="1"/>
  <c r="W4137" i="1"/>
  <c r="W4138" i="1"/>
  <c r="W4139" i="1"/>
  <c r="W4140" i="1"/>
  <c r="W4141" i="1"/>
  <c r="W4142" i="1"/>
  <c r="W4143" i="1"/>
  <c r="W4144" i="1"/>
  <c r="W4145" i="1"/>
  <c r="W4146" i="1"/>
  <c r="W4147" i="1"/>
  <c r="W4148" i="1"/>
  <c r="W4149" i="1"/>
  <c r="W4150" i="1"/>
  <c r="W4151" i="1"/>
  <c r="W4152" i="1"/>
  <c r="W4153" i="1"/>
  <c r="W4154" i="1"/>
  <c r="W4155" i="1"/>
  <c r="W4156" i="1"/>
  <c r="W4157" i="1"/>
  <c r="W4158" i="1"/>
  <c r="W4159" i="1"/>
  <c r="W4160" i="1"/>
  <c r="W4161" i="1"/>
  <c r="W4162" i="1"/>
  <c r="W4163" i="1"/>
  <c r="W4164" i="1"/>
  <c r="W4165" i="1"/>
  <c r="W4166" i="1"/>
  <c r="W4167" i="1"/>
  <c r="W4168" i="1"/>
  <c r="W4169" i="1"/>
  <c r="W4170" i="1"/>
  <c r="W4171" i="1"/>
  <c r="W4172" i="1"/>
  <c r="W4173" i="1"/>
  <c r="W4174" i="1"/>
  <c r="W4175" i="1"/>
  <c r="W4176" i="1"/>
  <c r="W4177" i="1"/>
  <c r="W4178" i="1"/>
  <c r="W4179" i="1"/>
  <c r="W4180" i="1"/>
  <c r="W4181" i="1"/>
  <c r="W4182" i="1"/>
  <c r="W4183" i="1"/>
  <c r="W4184" i="1"/>
  <c r="W4185" i="1"/>
  <c r="W4186" i="1"/>
  <c r="W4187" i="1"/>
  <c r="W4188" i="1"/>
  <c r="W4189" i="1"/>
  <c r="W4190" i="1"/>
  <c r="W4191" i="1"/>
  <c r="W4192" i="1"/>
  <c r="W4193" i="1"/>
  <c r="W4194" i="1"/>
  <c r="W4195" i="1"/>
  <c r="W4196" i="1"/>
  <c r="W4197" i="1"/>
  <c r="W4198" i="1"/>
  <c r="W4199" i="1"/>
  <c r="W4200" i="1"/>
  <c r="W4201" i="1"/>
  <c r="W4202" i="1"/>
  <c r="W4203" i="1"/>
  <c r="W4204" i="1"/>
  <c r="W4205" i="1"/>
  <c r="W4206" i="1"/>
  <c r="W4207" i="1"/>
  <c r="W4208" i="1"/>
  <c r="W4209" i="1"/>
  <c r="W4210" i="1"/>
  <c r="W4211" i="1"/>
  <c r="W4212" i="1"/>
  <c r="W4213" i="1"/>
  <c r="W4214" i="1"/>
  <c r="W4215" i="1"/>
  <c r="W4216" i="1"/>
  <c r="W4217" i="1"/>
  <c r="W4218" i="1"/>
  <c r="W4219" i="1"/>
  <c r="W4220" i="1"/>
  <c r="W4221" i="1"/>
  <c r="W4222" i="1"/>
  <c r="W4223" i="1"/>
  <c r="W4224" i="1"/>
  <c r="W4225" i="1"/>
  <c r="W4226" i="1"/>
  <c r="W4227" i="1"/>
  <c r="W4228" i="1"/>
  <c r="W4229" i="1"/>
  <c r="W4230" i="1"/>
  <c r="W4231" i="1"/>
  <c r="W4232" i="1"/>
  <c r="W4233" i="1"/>
  <c r="W4234" i="1"/>
  <c r="W4235" i="1"/>
  <c r="W4236" i="1"/>
  <c r="W4237" i="1"/>
  <c r="W4238" i="1"/>
  <c r="W4239" i="1"/>
  <c r="W4240" i="1"/>
  <c r="W4241" i="1"/>
  <c r="W4242" i="1"/>
  <c r="W4243" i="1"/>
  <c r="W4244" i="1"/>
  <c r="W4245" i="1"/>
  <c r="W4246" i="1"/>
  <c r="W4247" i="1"/>
  <c r="W4248" i="1"/>
  <c r="W4249" i="1"/>
  <c r="W4250" i="1"/>
  <c r="W4251" i="1"/>
  <c r="W4252" i="1"/>
  <c r="W4253" i="1"/>
  <c r="W4254" i="1"/>
  <c r="W4255" i="1"/>
  <c r="W4256" i="1"/>
  <c r="W4257" i="1"/>
  <c r="W4258" i="1"/>
  <c r="W4259" i="1"/>
  <c r="W4260" i="1"/>
  <c r="W4261" i="1"/>
  <c r="W4262" i="1"/>
  <c r="W4263" i="1"/>
  <c r="W4264" i="1"/>
  <c r="W4265" i="1"/>
  <c r="W4266" i="1"/>
  <c r="W4267" i="1"/>
  <c r="W4268" i="1"/>
  <c r="W4269" i="1"/>
  <c r="W4270" i="1"/>
  <c r="W4271" i="1"/>
  <c r="W4272" i="1"/>
  <c r="W4273" i="1"/>
  <c r="W4274" i="1"/>
  <c r="W4275" i="1"/>
  <c r="W4276" i="1"/>
  <c r="W4277" i="1"/>
  <c r="W4278" i="1"/>
  <c r="W4279" i="1"/>
  <c r="W4280" i="1"/>
  <c r="W4281" i="1"/>
  <c r="W4282" i="1"/>
  <c r="W4283" i="1"/>
  <c r="W4284" i="1"/>
  <c r="W4285" i="1"/>
  <c r="W4286" i="1"/>
  <c r="W4287" i="1"/>
  <c r="W4288" i="1"/>
  <c r="W4289" i="1"/>
  <c r="W4290" i="1"/>
  <c r="W4291" i="1"/>
  <c r="W4292" i="1"/>
  <c r="W4293" i="1"/>
  <c r="W4294" i="1"/>
  <c r="W4295" i="1"/>
  <c r="W4296" i="1"/>
  <c r="W4297" i="1"/>
  <c r="W4298" i="1"/>
  <c r="W4299" i="1"/>
  <c r="W4300" i="1"/>
  <c r="W4301" i="1"/>
  <c r="W4302" i="1"/>
  <c r="W4303" i="1"/>
  <c r="W4304" i="1"/>
  <c r="W4305" i="1"/>
  <c r="W4306" i="1"/>
  <c r="W4307" i="1"/>
  <c r="W4308" i="1"/>
  <c r="W4309" i="1"/>
  <c r="W4310" i="1"/>
  <c r="W4311" i="1"/>
  <c r="W4312" i="1"/>
  <c r="W4313" i="1"/>
  <c r="W4314" i="1"/>
  <c r="W4315" i="1"/>
  <c r="W4316" i="1"/>
  <c r="W4317" i="1"/>
  <c r="W4318" i="1"/>
  <c r="W4319" i="1"/>
  <c r="W4320" i="1"/>
  <c r="W4321" i="1"/>
  <c r="W4322" i="1"/>
  <c r="W4323" i="1"/>
  <c r="W4324" i="1"/>
  <c r="W4325" i="1"/>
  <c r="W4326" i="1"/>
  <c r="W4327" i="1"/>
  <c r="W4328" i="1"/>
  <c r="W4329" i="1"/>
  <c r="W4330" i="1"/>
  <c r="W4331" i="1"/>
  <c r="W4332" i="1"/>
  <c r="W4333" i="1"/>
  <c r="W4334" i="1"/>
  <c r="W4335" i="1"/>
  <c r="W4336" i="1"/>
  <c r="W4337" i="1"/>
  <c r="W4338" i="1"/>
  <c r="W4339" i="1"/>
  <c r="W4340" i="1"/>
  <c r="W4341" i="1"/>
  <c r="W4342" i="1"/>
  <c r="W4343" i="1"/>
  <c r="W4344" i="1"/>
  <c r="W4345" i="1"/>
  <c r="W4346" i="1"/>
  <c r="W4347" i="1"/>
  <c r="W4348" i="1"/>
  <c r="W4349" i="1"/>
  <c r="W4350" i="1"/>
  <c r="W4351" i="1"/>
  <c r="W4352" i="1"/>
  <c r="W4353" i="1"/>
  <c r="W4354" i="1"/>
  <c r="W4355" i="1"/>
  <c r="W4356" i="1"/>
  <c r="W4357" i="1"/>
  <c r="W4358" i="1"/>
  <c r="W4359" i="1"/>
  <c r="W4360" i="1"/>
  <c r="W4361" i="1"/>
  <c r="W4362" i="1"/>
  <c r="W4363" i="1"/>
  <c r="W4364" i="1"/>
  <c r="W4365" i="1"/>
  <c r="W4366" i="1"/>
  <c r="W4367" i="1"/>
  <c r="W4368" i="1"/>
  <c r="W4369" i="1"/>
  <c r="W4370" i="1"/>
  <c r="W4371" i="1"/>
  <c r="W4372" i="1"/>
  <c r="W4373" i="1"/>
  <c r="W4374" i="1"/>
  <c r="W4375" i="1"/>
  <c r="W4376" i="1"/>
  <c r="W4377" i="1"/>
  <c r="W4378" i="1"/>
  <c r="W4379" i="1"/>
  <c r="W4380" i="1"/>
  <c r="W4381" i="1"/>
  <c r="W4382" i="1"/>
  <c r="W4383" i="1"/>
  <c r="W4384" i="1"/>
  <c r="W4385" i="1"/>
  <c r="W4386" i="1"/>
  <c r="W4387" i="1"/>
  <c r="W4388" i="1"/>
  <c r="W4389" i="1"/>
  <c r="W4390" i="1"/>
  <c r="W4391" i="1"/>
  <c r="W4392" i="1"/>
  <c r="W4393" i="1"/>
  <c r="W4394" i="1"/>
  <c r="W4395" i="1"/>
  <c r="W4396" i="1"/>
  <c r="W4397" i="1"/>
  <c r="W4398" i="1"/>
  <c r="W4399" i="1"/>
  <c r="W4400" i="1"/>
  <c r="W4401" i="1"/>
  <c r="W4402" i="1"/>
  <c r="W4403" i="1"/>
  <c r="W4404" i="1"/>
  <c r="W4405" i="1"/>
  <c r="W4406" i="1"/>
  <c r="W4407" i="1"/>
  <c r="W4408" i="1"/>
  <c r="W4409" i="1"/>
  <c r="W4410" i="1"/>
  <c r="W4411" i="1"/>
  <c r="W4412" i="1"/>
  <c r="W4413" i="1"/>
  <c r="W4414" i="1"/>
  <c r="W4415" i="1"/>
  <c r="W4416" i="1"/>
  <c r="W4417" i="1"/>
  <c r="W4418" i="1"/>
  <c r="W4419" i="1"/>
  <c r="W4420" i="1"/>
  <c r="W4421" i="1"/>
  <c r="W4422" i="1"/>
  <c r="W4423" i="1"/>
  <c r="W4424" i="1"/>
  <c r="W4425" i="1"/>
  <c r="W4426" i="1"/>
  <c r="W4427" i="1"/>
  <c r="W4428" i="1"/>
  <c r="W4429" i="1"/>
  <c r="W4430" i="1"/>
  <c r="W4431" i="1"/>
  <c r="W4432" i="1"/>
  <c r="W4433" i="1"/>
  <c r="W4434" i="1"/>
  <c r="W4435" i="1"/>
  <c r="W4436" i="1"/>
  <c r="W4437" i="1"/>
  <c r="W4438" i="1"/>
  <c r="W4439" i="1"/>
  <c r="W4440" i="1"/>
  <c r="W4441" i="1"/>
  <c r="W4442" i="1"/>
  <c r="W4443" i="1"/>
  <c r="W4444" i="1"/>
  <c r="W4445" i="1"/>
  <c r="W4446" i="1"/>
  <c r="W4447" i="1"/>
  <c r="W4448" i="1"/>
  <c r="W4449" i="1"/>
  <c r="W4450" i="1"/>
  <c r="W4451" i="1"/>
  <c r="W4452" i="1"/>
  <c r="W4453" i="1"/>
  <c r="W4454" i="1"/>
  <c r="W4455" i="1"/>
  <c r="W4456" i="1"/>
  <c r="W4457" i="1"/>
  <c r="W4458" i="1"/>
  <c r="W4459" i="1"/>
  <c r="W4460" i="1"/>
  <c r="W4461" i="1"/>
  <c r="W4462" i="1"/>
  <c r="W4463" i="1"/>
  <c r="W4464" i="1"/>
  <c r="W4465" i="1"/>
  <c r="W4466" i="1"/>
  <c r="W4467" i="1"/>
  <c r="W4468" i="1"/>
  <c r="W4469" i="1"/>
  <c r="W4470" i="1"/>
  <c r="W4471" i="1"/>
  <c r="W4472" i="1"/>
  <c r="W4473" i="1"/>
  <c r="W4474" i="1"/>
  <c r="W4475" i="1"/>
  <c r="W4476" i="1"/>
  <c r="W4477" i="1"/>
  <c r="W4478" i="1"/>
  <c r="W4479" i="1"/>
  <c r="W4480" i="1"/>
  <c r="W4481" i="1"/>
  <c r="W4482" i="1"/>
  <c r="W4483" i="1"/>
  <c r="W4484" i="1"/>
  <c r="W4485" i="1"/>
  <c r="W4486" i="1"/>
  <c r="W4487" i="1"/>
  <c r="W4488" i="1"/>
  <c r="W4489" i="1"/>
  <c r="W4490" i="1"/>
  <c r="W4491" i="1"/>
  <c r="W4492" i="1"/>
  <c r="W4493" i="1"/>
  <c r="W4494" i="1"/>
  <c r="W4495" i="1"/>
  <c r="W4496" i="1"/>
  <c r="W4497" i="1"/>
  <c r="W4498" i="1"/>
  <c r="W4499" i="1"/>
  <c r="W4500" i="1"/>
  <c r="W4501" i="1"/>
  <c r="W4502" i="1"/>
  <c r="W4503" i="1"/>
  <c r="W4504" i="1"/>
  <c r="W4505" i="1"/>
  <c r="W4506" i="1"/>
  <c r="W4507" i="1"/>
  <c r="W4508" i="1"/>
  <c r="W4509" i="1"/>
  <c r="W4510" i="1"/>
  <c r="W4511" i="1"/>
  <c r="W4512" i="1"/>
  <c r="W4513" i="1"/>
  <c r="W4514" i="1"/>
  <c r="W4515" i="1"/>
  <c r="W4516" i="1"/>
  <c r="W4517" i="1"/>
  <c r="W4518" i="1"/>
  <c r="W4519" i="1"/>
  <c r="W4520" i="1"/>
  <c r="W4521" i="1"/>
  <c r="W4522" i="1"/>
  <c r="W4523" i="1"/>
  <c r="W4524" i="1"/>
  <c r="W4525" i="1"/>
  <c r="W4526" i="1"/>
  <c r="W4527" i="1"/>
  <c r="W4528" i="1"/>
  <c r="W4529" i="1"/>
  <c r="W4530" i="1"/>
  <c r="W4531" i="1"/>
  <c r="W4532" i="1"/>
  <c r="W4533" i="1"/>
  <c r="W4534" i="1"/>
  <c r="W4535" i="1"/>
  <c r="W4536" i="1"/>
  <c r="W4537" i="1"/>
  <c r="W4538" i="1"/>
  <c r="W4539" i="1"/>
  <c r="W4540" i="1"/>
  <c r="W4541" i="1"/>
  <c r="W4542" i="1"/>
  <c r="W4543" i="1"/>
  <c r="W4544" i="1"/>
  <c r="W4545" i="1"/>
  <c r="W4546" i="1"/>
  <c r="W4547" i="1"/>
  <c r="W4548" i="1"/>
  <c r="W4549" i="1"/>
  <c r="W4550" i="1"/>
  <c r="W4551" i="1"/>
  <c r="W4552" i="1"/>
  <c r="W4553" i="1"/>
  <c r="W4554" i="1"/>
  <c r="W4555" i="1"/>
  <c r="W4556" i="1"/>
  <c r="W4557" i="1"/>
  <c r="W4558" i="1"/>
  <c r="W4559" i="1"/>
  <c r="W4560" i="1"/>
  <c r="W4561" i="1"/>
  <c r="W4562" i="1"/>
  <c r="W4563" i="1"/>
  <c r="W4564" i="1"/>
  <c r="W4565" i="1"/>
  <c r="W4566" i="1"/>
  <c r="W4567" i="1"/>
  <c r="W4568" i="1"/>
  <c r="W4569" i="1"/>
  <c r="W4570" i="1"/>
  <c r="W4571" i="1"/>
  <c r="W4572" i="1"/>
  <c r="W4573" i="1"/>
  <c r="W4574" i="1"/>
  <c r="W4575" i="1"/>
  <c r="W4576" i="1"/>
  <c r="W4577" i="1"/>
  <c r="W4578" i="1"/>
  <c r="W4579" i="1"/>
  <c r="W4580" i="1"/>
  <c r="W4581" i="1"/>
  <c r="W4582" i="1"/>
  <c r="W4583" i="1"/>
  <c r="W4584" i="1"/>
  <c r="W4585" i="1"/>
  <c r="W4586" i="1"/>
  <c r="W4587" i="1"/>
  <c r="W4588" i="1"/>
  <c r="W4589" i="1"/>
  <c r="W4590" i="1"/>
  <c r="W4591" i="1"/>
  <c r="W4592" i="1"/>
  <c r="W4593" i="1"/>
  <c r="W4594" i="1"/>
  <c r="W4595" i="1"/>
  <c r="W4596" i="1"/>
  <c r="W4597" i="1"/>
  <c r="W4598" i="1"/>
  <c r="W4599" i="1"/>
  <c r="W4600" i="1"/>
  <c r="W4601" i="1"/>
  <c r="W4602" i="1"/>
  <c r="W4603" i="1"/>
  <c r="W4604" i="1"/>
  <c r="W4605" i="1"/>
  <c r="W4606" i="1"/>
  <c r="W4607" i="1"/>
  <c r="W4608" i="1"/>
  <c r="W4609" i="1"/>
  <c r="W4610" i="1"/>
  <c r="W4611" i="1"/>
  <c r="W4612" i="1"/>
  <c r="W4613" i="1"/>
  <c r="W4614" i="1"/>
  <c r="W4615" i="1"/>
  <c r="W4616" i="1"/>
  <c r="W4617" i="1"/>
  <c r="W4618" i="1"/>
  <c r="W4619" i="1"/>
  <c r="W4620" i="1"/>
  <c r="W4621" i="1"/>
  <c r="W4622" i="1"/>
  <c r="W4623" i="1"/>
  <c r="W4624" i="1"/>
  <c r="W4625" i="1"/>
  <c r="W4626" i="1"/>
  <c r="W4627" i="1"/>
  <c r="W4628" i="1"/>
  <c r="W4629" i="1"/>
  <c r="W4630" i="1"/>
  <c r="W4631" i="1"/>
  <c r="W4632" i="1"/>
  <c r="W4633" i="1"/>
  <c r="W4634" i="1"/>
  <c r="W4635" i="1"/>
  <c r="W4636" i="1"/>
  <c r="W4637" i="1"/>
  <c r="W4638" i="1"/>
  <c r="W4639" i="1"/>
  <c r="W4640" i="1"/>
  <c r="W4641" i="1"/>
  <c r="W4642" i="1"/>
  <c r="W4643" i="1"/>
  <c r="W4644" i="1"/>
  <c r="W4645" i="1"/>
  <c r="W4646" i="1"/>
  <c r="W4647" i="1"/>
  <c r="W4648" i="1"/>
  <c r="W4649" i="1"/>
  <c r="W4650" i="1"/>
  <c r="W4651" i="1"/>
  <c r="W4652" i="1"/>
  <c r="W4653" i="1"/>
  <c r="W4654" i="1"/>
  <c r="W4655" i="1"/>
  <c r="W4656" i="1"/>
  <c r="W4657" i="1"/>
  <c r="W4658" i="1"/>
  <c r="W4659" i="1"/>
  <c r="W4660" i="1"/>
  <c r="W4661" i="1"/>
  <c r="W4662" i="1"/>
  <c r="W4663" i="1"/>
  <c r="W4664" i="1"/>
  <c r="W4665" i="1"/>
  <c r="W4666" i="1"/>
  <c r="W4667" i="1"/>
  <c r="W4668" i="1"/>
  <c r="W4669" i="1"/>
  <c r="W4670" i="1"/>
  <c r="W4671" i="1"/>
  <c r="W4672" i="1"/>
  <c r="W4673" i="1"/>
  <c r="W4674" i="1"/>
  <c r="W4675" i="1"/>
  <c r="W4676" i="1"/>
  <c r="W4677" i="1"/>
  <c r="W4678" i="1"/>
  <c r="W4679" i="1"/>
  <c r="W4680" i="1"/>
  <c r="W4681" i="1"/>
  <c r="W4682" i="1"/>
  <c r="W4683" i="1"/>
  <c r="W4684" i="1"/>
  <c r="W4685" i="1"/>
  <c r="W4686" i="1"/>
  <c r="W4687" i="1"/>
  <c r="W4688" i="1"/>
  <c r="W4689" i="1"/>
  <c r="W4690" i="1"/>
  <c r="W4691" i="1"/>
  <c r="W4692" i="1"/>
  <c r="W4693" i="1"/>
  <c r="W4694" i="1"/>
  <c r="W4695" i="1"/>
  <c r="W4696" i="1"/>
  <c r="W4697" i="1"/>
  <c r="W4698" i="1"/>
  <c r="W4699" i="1"/>
  <c r="W4700" i="1"/>
  <c r="W4701" i="1"/>
  <c r="W4702" i="1"/>
  <c r="W4703" i="1"/>
  <c r="W4704" i="1"/>
  <c r="W4705" i="1"/>
  <c r="W4706" i="1"/>
  <c r="W4707" i="1"/>
  <c r="W4708" i="1"/>
  <c r="W4709" i="1"/>
  <c r="W4710" i="1"/>
  <c r="W4711" i="1"/>
  <c r="W4712" i="1"/>
  <c r="W4713" i="1"/>
  <c r="W4714" i="1"/>
  <c r="W4715" i="1"/>
  <c r="W4716" i="1"/>
  <c r="W4717" i="1"/>
  <c r="W4718" i="1"/>
  <c r="W4719" i="1"/>
  <c r="W4720" i="1"/>
  <c r="W4721" i="1"/>
  <c r="W4722" i="1"/>
  <c r="W4723" i="1"/>
  <c r="W4724" i="1"/>
  <c r="W4725" i="1"/>
  <c r="W4726" i="1"/>
  <c r="W4727" i="1"/>
  <c r="W4728" i="1"/>
  <c r="W4729" i="1"/>
  <c r="W4730" i="1"/>
  <c r="W4731" i="1"/>
  <c r="W4732" i="1"/>
  <c r="W4733" i="1"/>
  <c r="W4734" i="1"/>
  <c r="W4735" i="1"/>
  <c r="W4736" i="1"/>
  <c r="W4737" i="1"/>
  <c r="W4738" i="1"/>
  <c r="W4739" i="1"/>
  <c r="W4740" i="1"/>
  <c r="W4741" i="1"/>
  <c r="W4742" i="1"/>
  <c r="W4743" i="1"/>
  <c r="W4744" i="1"/>
  <c r="W4745" i="1"/>
  <c r="W4746" i="1"/>
  <c r="W4747" i="1"/>
  <c r="W4748" i="1"/>
  <c r="W4749" i="1"/>
  <c r="W4750" i="1"/>
  <c r="W4751" i="1"/>
  <c r="W4752" i="1"/>
  <c r="W4753" i="1"/>
  <c r="W4754" i="1"/>
  <c r="W4755" i="1"/>
  <c r="W4756" i="1"/>
  <c r="W4757" i="1"/>
  <c r="W4758" i="1"/>
  <c r="W4759" i="1"/>
  <c r="W4760" i="1"/>
  <c r="W4761" i="1"/>
  <c r="W4762" i="1"/>
  <c r="W4763" i="1"/>
  <c r="W4764" i="1"/>
  <c r="W4765" i="1"/>
  <c r="W4766" i="1"/>
  <c r="W4767" i="1"/>
  <c r="W4768" i="1"/>
  <c r="W4769" i="1"/>
  <c r="W4770" i="1"/>
  <c r="W4771" i="1"/>
  <c r="W4772" i="1"/>
  <c r="W4773" i="1"/>
  <c r="W4774" i="1"/>
  <c r="W4775" i="1"/>
  <c r="W4776" i="1"/>
  <c r="W4777" i="1"/>
  <c r="W4778" i="1"/>
  <c r="W4779" i="1"/>
  <c r="W4780" i="1"/>
  <c r="W4781" i="1"/>
  <c r="W4782" i="1"/>
  <c r="W4783" i="1"/>
  <c r="W4784" i="1"/>
  <c r="W4785" i="1"/>
  <c r="W4786" i="1"/>
  <c r="W4787" i="1"/>
  <c r="W4788" i="1"/>
  <c r="W4789" i="1"/>
  <c r="W4790" i="1"/>
  <c r="W4791" i="1"/>
  <c r="W4792" i="1"/>
  <c r="W4793" i="1"/>
  <c r="W4794" i="1"/>
  <c r="W4795" i="1"/>
  <c r="W4796" i="1"/>
  <c r="W4797" i="1"/>
  <c r="W4798" i="1"/>
  <c r="W4799" i="1"/>
  <c r="W4800" i="1"/>
  <c r="W4801" i="1"/>
  <c r="W4802" i="1"/>
  <c r="W4803" i="1"/>
  <c r="W4804" i="1"/>
  <c r="W4805" i="1"/>
  <c r="W4806" i="1"/>
  <c r="W4807" i="1"/>
  <c r="W4808" i="1"/>
  <c r="W4809" i="1"/>
  <c r="W4810" i="1"/>
  <c r="W4811" i="1"/>
  <c r="W4812" i="1"/>
  <c r="W4813" i="1"/>
  <c r="W4814" i="1"/>
  <c r="W4815" i="1"/>
  <c r="W4816" i="1"/>
  <c r="W4817" i="1"/>
  <c r="W4818" i="1"/>
  <c r="W4819" i="1"/>
  <c r="W4820" i="1"/>
  <c r="W4821" i="1"/>
  <c r="W4822" i="1"/>
  <c r="W4823" i="1"/>
  <c r="W4824" i="1"/>
  <c r="W4825" i="1"/>
  <c r="W4826" i="1"/>
  <c r="W4827" i="1"/>
  <c r="W4828" i="1"/>
  <c r="W4829" i="1"/>
  <c r="W4830" i="1"/>
  <c r="W4831" i="1"/>
  <c r="W4832" i="1"/>
  <c r="W4833" i="1"/>
  <c r="W4834" i="1"/>
  <c r="W4835" i="1"/>
  <c r="W4836" i="1"/>
  <c r="W4837" i="1"/>
  <c r="W4838" i="1"/>
  <c r="W4839" i="1"/>
  <c r="W4840" i="1"/>
  <c r="W4841" i="1"/>
  <c r="W4842" i="1"/>
  <c r="W4843" i="1"/>
  <c r="W4844" i="1"/>
  <c r="W4845" i="1"/>
  <c r="W4846" i="1"/>
  <c r="W4847" i="1"/>
  <c r="W4848" i="1"/>
  <c r="W4849" i="1"/>
  <c r="W4850" i="1"/>
  <c r="W4851" i="1"/>
  <c r="W4852" i="1"/>
  <c r="W4853" i="1"/>
  <c r="W4854" i="1"/>
  <c r="W4855" i="1"/>
  <c r="W4856" i="1"/>
  <c r="W4857" i="1"/>
  <c r="W4858" i="1"/>
  <c r="W4859" i="1"/>
  <c r="W4860" i="1"/>
  <c r="W4861" i="1"/>
  <c r="W4862" i="1"/>
  <c r="W4863" i="1"/>
  <c r="W4864" i="1"/>
  <c r="W4865" i="1"/>
  <c r="W4866" i="1"/>
  <c r="W4867" i="1"/>
  <c r="W4868" i="1"/>
  <c r="W4869" i="1"/>
  <c r="W4870" i="1"/>
  <c r="W4871" i="1"/>
  <c r="W4872" i="1"/>
  <c r="W4873" i="1"/>
  <c r="W4874" i="1"/>
  <c r="W4875" i="1"/>
  <c r="W4876" i="1"/>
  <c r="W4877" i="1"/>
  <c r="W4878" i="1"/>
  <c r="W4879" i="1"/>
  <c r="W4880" i="1"/>
  <c r="W4881" i="1"/>
  <c r="W4882" i="1"/>
  <c r="W4883" i="1"/>
  <c r="W4884" i="1"/>
  <c r="W4885" i="1"/>
  <c r="W4886" i="1"/>
  <c r="W4887" i="1"/>
  <c r="W4888" i="1"/>
  <c r="W4889" i="1"/>
  <c r="W4890" i="1"/>
  <c r="W4891" i="1"/>
  <c r="W4892" i="1"/>
  <c r="W4893" i="1"/>
  <c r="W4894" i="1"/>
  <c r="W4895" i="1"/>
  <c r="W4896" i="1"/>
  <c r="W4897" i="1"/>
  <c r="W4898" i="1"/>
  <c r="W4899" i="1"/>
  <c r="W4900" i="1"/>
  <c r="W4901" i="1"/>
  <c r="W4902" i="1"/>
  <c r="W4903" i="1"/>
  <c r="W4904" i="1"/>
  <c r="W4905" i="1"/>
  <c r="W4906" i="1"/>
  <c r="W4907" i="1"/>
  <c r="W4908" i="1"/>
  <c r="W4909" i="1"/>
  <c r="W4910" i="1"/>
  <c r="W4911" i="1"/>
  <c r="W4912" i="1"/>
  <c r="W4913" i="1"/>
  <c r="W4914" i="1"/>
  <c r="W4915" i="1"/>
  <c r="W4916" i="1"/>
  <c r="W4917" i="1"/>
  <c r="W4918" i="1"/>
  <c r="W4919" i="1"/>
  <c r="W4920" i="1"/>
  <c r="W4921" i="1"/>
  <c r="W4922" i="1"/>
  <c r="W4923" i="1"/>
  <c r="W4924" i="1"/>
  <c r="W4925" i="1"/>
  <c r="W4926" i="1"/>
  <c r="W4927" i="1"/>
  <c r="W4928" i="1"/>
  <c r="W4929" i="1"/>
  <c r="W4930" i="1"/>
  <c r="W4931" i="1"/>
  <c r="W4932" i="1"/>
  <c r="W4933" i="1"/>
  <c r="W4934" i="1"/>
  <c r="W4935" i="1"/>
  <c r="W4936" i="1"/>
  <c r="W4937" i="1"/>
  <c r="W4938" i="1"/>
  <c r="W4939" i="1"/>
  <c r="W4940" i="1"/>
  <c r="W4941" i="1"/>
  <c r="W4942" i="1"/>
  <c r="W4943" i="1"/>
  <c r="W4944" i="1"/>
  <c r="W4945" i="1"/>
  <c r="W4946" i="1"/>
  <c r="W4947" i="1"/>
  <c r="W4948" i="1"/>
  <c r="W4949" i="1"/>
  <c r="W4950" i="1"/>
  <c r="W4951" i="1"/>
  <c r="W4952" i="1"/>
  <c r="W4953" i="1"/>
  <c r="W4954" i="1"/>
  <c r="W4955" i="1"/>
  <c r="W4956" i="1"/>
  <c r="W4957" i="1"/>
  <c r="W4958" i="1"/>
  <c r="W4959" i="1"/>
  <c r="W4960" i="1"/>
  <c r="W4961" i="1"/>
  <c r="W4962" i="1"/>
  <c r="W4963" i="1"/>
  <c r="W4964" i="1"/>
  <c r="W4965" i="1"/>
  <c r="W4966" i="1"/>
  <c r="W4967" i="1"/>
  <c r="W4968" i="1"/>
  <c r="W4969" i="1"/>
  <c r="W4970" i="1"/>
  <c r="W4971" i="1"/>
  <c r="W4972" i="1"/>
  <c r="W4973" i="1"/>
  <c r="W4974" i="1"/>
  <c r="W4975" i="1"/>
  <c r="W4976" i="1"/>
  <c r="W4977" i="1"/>
  <c r="W4978" i="1"/>
  <c r="W4979" i="1"/>
  <c r="W4980" i="1"/>
  <c r="W4981" i="1"/>
  <c r="W4982" i="1"/>
  <c r="W4983" i="1"/>
  <c r="W4984" i="1"/>
  <c r="W4985" i="1"/>
  <c r="W4986" i="1"/>
  <c r="W4987" i="1"/>
  <c r="W4988" i="1"/>
  <c r="W4989" i="1"/>
  <c r="W4990" i="1"/>
  <c r="W4991" i="1"/>
  <c r="W4992" i="1"/>
  <c r="W4993" i="1"/>
  <c r="W4994" i="1"/>
  <c r="W4995" i="1"/>
  <c r="W4996" i="1"/>
  <c r="W4997" i="1"/>
  <c r="W4998" i="1"/>
  <c r="W4999" i="1"/>
  <c r="W5000" i="1"/>
  <c r="W5001" i="1"/>
  <c r="W5002" i="1"/>
  <c r="W5003" i="1"/>
  <c r="W5004" i="1"/>
  <c r="W5005" i="1"/>
  <c r="W5006" i="1"/>
  <c r="W5007" i="1"/>
  <c r="W5008" i="1"/>
  <c r="W5009" i="1"/>
  <c r="W5010" i="1"/>
  <c r="W5011" i="1"/>
  <c r="W5012" i="1"/>
  <c r="W5013" i="1"/>
  <c r="W5014" i="1"/>
  <c r="W5015" i="1"/>
  <c r="W5016" i="1"/>
  <c r="W5017" i="1"/>
  <c r="W5018" i="1"/>
  <c r="W5019" i="1"/>
  <c r="W5020" i="1"/>
  <c r="W5021" i="1"/>
  <c r="W5022" i="1"/>
  <c r="W5023" i="1"/>
  <c r="W5024" i="1"/>
  <c r="W5025" i="1"/>
  <c r="W5026" i="1"/>
  <c r="W5027" i="1"/>
  <c r="W5028" i="1"/>
  <c r="W5029" i="1"/>
  <c r="W5030" i="1"/>
  <c r="W5031" i="1"/>
  <c r="W5032" i="1"/>
  <c r="W5033" i="1"/>
  <c r="W5034" i="1"/>
  <c r="W5035" i="1"/>
  <c r="W5036" i="1"/>
  <c r="W5037" i="1"/>
  <c r="W5038" i="1"/>
  <c r="W5039" i="1"/>
  <c r="W5040" i="1"/>
  <c r="W5041" i="1"/>
  <c r="W5042" i="1"/>
  <c r="W5043" i="1"/>
  <c r="W5044" i="1"/>
  <c r="W5045" i="1"/>
  <c r="W5046" i="1"/>
  <c r="W5047" i="1"/>
  <c r="W5048" i="1"/>
  <c r="W5049" i="1"/>
  <c r="W5050" i="1"/>
  <c r="W5051" i="1"/>
  <c r="W5052" i="1"/>
  <c r="W5053" i="1"/>
  <c r="W5054" i="1"/>
  <c r="W5055" i="1"/>
  <c r="W5056" i="1"/>
  <c r="W5057" i="1"/>
  <c r="W5058" i="1"/>
  <c r="W5059" i="1"/>
  <c r="W5060" i="1"/>
  <c r="W5061" i="1"/>
  <c r="W5062" i="1"/>
  <c r="W5063" i="1"/>
  <c r="W5064" i="1"/>
  <c r="W5065" i="1"/>
  <c r="W5066" i="1"/>
  <c r="W5067" i="1"/>
  <c r="W5068" i="1"/>
  <c r="W5069" i="1"/>
  <c r="W5070" i="1"/>
  <c r="W5071" i="1"/>
  <c r="W5072" i="1"/>
  <c r="W5073" i="1"/>
  <c r="W5074" i="1"/>
  <c r="W5075" i="1"/>
  <c r="W5076" i="1"/>
  <c r="W5077" i="1"/>
  <c r="W5078" i="1"/>
  <c r="W5079" i="1"/>
  <c r="W5080" i="1"/>
  <c r="W5081" i="1"/>
  <c r="W5082" i="1"/>
  <c r="W5083" i="1"/>
  <c r="W5084" i="1"/>
  <c r="W5085" i="1"/>
  <c r="W5086" i="1"/>
  <c r="W5087" i="1"/>
  <c r="W5088" i="1"/>
  <c r="W5089" i="1"/>
  <c r="W5090" i="1"/>
  <c r="W5091" i="1"/>
  <c r="W5092" i="1"/>
  <c r="W5093" i="1"/>
  <c r="W5094" i="1"/>
  <c r="W5095" i="1"/>
  <c r="W5096" i="1"/>
  <c r="W5097" i="1"/>
  <c r="W5098" i="1"/>
  <c r="W5099" i="1"/>
  <c r="W5100" i="1"/>
  <c r="W5101" i="1"/>
  <c r="W5102" i="1"/>
  <c r="W5103" i="1"/>
  <c r="W5104" i="1"/>
  <c r="W5105" i="1"/>
  <c r="W5106" i="1"/>
  <c r="W5107" i="1"/>
  <c r="W5108" i="1"/>
  <c r="W5109" i="1"/>
  <c r="W5110" i="1"/>
  <c r="W5111" i="1"/>
  <c r="W5112" i="1"/>
  <c r="W5113" i="1"/>
  <c r="W5114" i="1"/>
  <c r="W5115" i="1"/>
  <c r="W5116" i="1"/>
  <c r="W5117" i="1"/>
  <c r="W5118" i="1"/>
  <c r="W5119" i="1"/>
  <c r="W5120" i="1"/>
  <c r="W5121" i="1"/>
  <c r="W5122" i="1"/>
  <c r="W5123" i="1"/>
  <c r="W5124" i="1"/>
  <c r="W5125" i="1"/>
  <c r="W5126" i="1"/>
  <c r="W5127" i="1"/>
  <c r="W5128" i="1"/>
  <c r="W5129" i="1"/>
  <c r="W5130" i="1"/>
  <c r="W5131" i="1"/>
  <c r="W5132" i="1"/>
  <c r="W5133" i="1"/>
  <c r="W5134" i="1"/>
  <c r="W5135" i="1"/>
  <c r="W5136" i="1"/>
  <c r="W5137" i="1"/>
  <c r="W5138" i="1"/>
  <c r="W5139" i="1"/>
  <c r="W5140" i="1"/>
  <c r="W5141" i="1"/>
  <c r="W5142" i="1"/>
  <c r="W5143" i="1"/>
  <c r="W5144" i="1"/>
  <c r="W5145" i="1"/>
  <c r="W5146" i="1"/>
  <c r="W5147" i="1"/>
  <c r="W5148" i="1"/>
  <c r="W5149" i="1"/>
  <c r="W5150" i="1"/>
  <c r="W5151" i="1"/>
  <c r="W5152" i="1"/>
  <c r="W5153" i="1"/>
  <c r="W5154" i="1"/>
  <c r="W5155" i="1"/>
  <c r="W5156" i="1"/>
  <c r="W5157" i="1"/>
  <c r="W5158" i="1"/>
  <c r="W5159" i="1"/>
  <c r="W5160" i="1"/>
  <c r="W5161" i="1"/>
  <c r="W5162" i="1"/>
  <c r="W5163" i="1"/>
  <c r="W5164" i="1"/>
  <c r="W5165" i="1"/>
  <c r="W5166" i="1"/>
  <c r="W5167" i="1"/>
  <c r="W5168" i="1"/>
  <c r="W5169" i="1"/>
  <c r="W5170" i="1"/>
  <c r="W5171" i="1"/>
  <c r="W5172" i="1"/>
  <c r="W5173" i="1"/>
  <c r="W5174" i="1"/>
  <c r="W5175" i="1"/>
  <c r="W5176" i="1"/>
  <c r="W5177" i="1"/>
  <c r="W5178" i="1"/>
  <c r="W5179" i="1"/>
  <c r="W5180" i="1"/>
  <c r="W5181" i="1"/>
  <c r="W5182" i="1"/>
  <c r="W5183" i="1"/>
  <c r="W5184" i="1"/>
  <c r="W5185" i="1"/>
  <c r="W5186" i="1"/>
  <c r="W5187" i="1"/>
  <c r="W5188" i="1"/>
  <c r="W5189" i="1"/>
  <c r="W5190" i="1"/>
  <c r="W5191" i="1"/>
  <c r="W5192" i="1"/>
  <c r="W5193" i="1"/>
  <c r="W5194" i="1"/>
  <c r="W5195" i="1"/>
  <c r="W5196" i="1"/>
  <c r="W5197" i="1"/>
  <c r="W5198" i="1"/>
  <c r="W5199" i="1"/>
  <c r="W5200" i="1"/>
  <c r="W5201" i="1"/>
  <c r="W5202" i="1"/>
  <c r="W5203" i="1"/>
  <c r="W5204" i="1"/>
  <c r="W5205" i="1"/>
  <c r="W5206" i="1"/>
  <c r="W5207" i="1"/>
  <c r="W5208" i="1"/>
  <c r="W5209" i="1"/>
  <c r="W5210" i="1"/>
  <c r="W5211" i="1"/>
  <c r="W5212" i="1"/>
  <c r="W5213" i="1"/>
  <c r="W5214" i="1"/>
  <c r="W5215" i="1"/>
  <c r="W5216" i="1"/>
  <c r="W5217" i="1"/>
  <c r="W5218" i="1"/>
  <c r="W5219" i="1"/>
  <c r="W5220" i="1"/>
  <c r="W5221" i="1"/>
  <c r="W5222" i="1"/>
  <c r="W5223" i="1"/>
  <c r="W5224" i="1"/>
  <c r="W5225" i="1"/>
  <c r="W5226" i="1"/>
  <c r="W5227" i="1"/>
  <c r="W5228" i="1"/>
  <c r="W5229" i="1"/>
  <c r="W5230" i="1"/>
  <c r="W5231" i="1"/>
  <c r="W5232" i="1"/>
  <c r="W5233" i="1"/>
  <c r="W5234" i="1"/>
  <c r="W5235" i="1"/>
  <c r="W5236" i="1"/>
  <c r="W5237" i="1"/>
  <c r="W5238" i="1"/>
  <c r="W5239" i="1"/>
  <c r="W5240" i="1"/>
  <c r="W5241" i="1"/>
  <c r="W5242" i="1"/>
  <c r="W5243" i="1"/>
  <c r="W5244" i="1"/>
  <c r="W5245" i="1"/>
  <c r="W5246" i="1"/>
  <c r="W5247" i="1"/>
  <c r="W5248" i="1"/>
  <c r="W5249" i="1"/>
  <c r="W5250" i="1"/>
  <c r="W5251" i="1"/>
  <c r="W5252" i="1"/>
  <c r="W5253" i="1"/>
  <c r="W5254" i="1"/>
  <c r="W5255" i="1"/>
  <c r="W5256" i="1"/>
  <c r="W5257" i="1"/>
  <c r="W5258" i="1"/>
  <c r="W5259" i="1"/>
  <c r="W5260" i="1"/>
  <c r="W5261" i="1"/>
  <c r="W5262" i="1"/>
  <c r="W5263" i="1"/>
  <c r="W5264" i="1"/>
  <c r="W5265" i="1"/>
  <c r="W5266" i="1"/>
  <c r="W5267" i="1"/>
  <c r="W5268" i="1"/>
  <c r="W5269" i="1"/>
  <c r="W5270" i="1"/>
  <c r="W5271" i="1"/>
  <c r="W5272" i="1"/>
  <c r="W5273" i="1"/>
  <c r="W5274" i="1"/>
  <c r="W5275" i="1"/>
  <c r="W5276" i="1"/>
  <c r="W5277" i="1"/>
  <c r="W5278" i="1"/>
  <c r="W5279" i="1"/>
  <c r="W5280" i="1"/>
  <c r="W5281" i="1"/>
  <c r="W5282" i="1"/>
  <c r="W5283" i="1"/>
  <c r="W5284" i="1"/>
  <c r="W5285" i="1"/>
  <c r="W5286" i="1"/>
  <c r="W5287" i="1"/>
  <c r="W5288" i="1"/>
  <c r="W5289" i="1"/>
  <c r="W5290" i="1"/>
  <c r="W5291" i="1"/>
  <c r="W5292" i="1"/>
  <c r="W5293" i="1"/>
  <c r="W5294" i="1"/>
  <c r="W5295" i="1"/>
  <c r="W5296" i="1"/>
  <c r="W5297" i="1"/>
  <c r="W5298" i="1"/>
  <c r="W5299" i="1"/>
  <c r="W5300" i="1"/>
  <c r="W5301" i="1"/>
  <c r="W5302" i="1"/>
  <c r="W5303" i="1"/>
  <c r="W5304" i="1"/>
  <c r="W5305" i="1"/>
  <c r="W5306" i="1"/>
  <c r="W5307" i="1"/>
  <c r="W5308" i="1"/>
  <c r="W5309" i="1"/>
  <c r="W5310" i="1"/>
  <c r="W5311" i="1"/>
  <c r="W5312" i="1"/>
  <c r="W5313" i="1"/>
  <c r="W5314" i="1"/>
  <c r="W5315" i="1"/>
  <c r="W5316" i="1"/>
  <c r="W5317" i="1"/>
  <c r="W5318" i="1"/>
  <c r="W5319" i="1"/>
  <c r="W5320" i="1"/>
  <c r="W5321" i="1"/>
  <c r="W5322" i="1"/>
  <c r="W5323" i="1"/>
  <c r="W5324" i="1"/>
  <c r="W5325" i="1"/>
  <c r="W5326" i="1"/>
  <c r="W5327" i="1"/>
  <c r="W5328" i="1"/>
  <c r="W5329" i="1"/>
  <c r="W5330" i="1"/>
  <c r="W5331" i="1"/>
  <c r="W5332" i="1"/>
  <c r="W5333" i="1"/>
  <c r="W5334" i="1"/>
  <c r="W5335" i="1"/>
  <c r="W5336" i="1"/>
  <c r="W5337" i="1"/>
  <c r="W5338" i="1"/>
  <c r="W5339" i="1"/>
  <c r="W5340" i="1"/>
  <c r="W5341" i="1"/>
  <c r="W5342" i="1"/>
  <c r="W5343" i="1"/>
  <c r="W5344" i="1"/>
  <c r="W5345" i="1"/>
  <c r="W5346" i="1"/>
  <c r="W5347" i="1"/>
  <c r="W5348" i="1"/>
  <c r="W5349" i="1"/>
  <c r="W5350" i="1"/>
  <c r="W5351" i="1"/>
  <c r="W5352" i="1"/>
  <c r="W5353" i="1"/>
  <c r="W5354" i="1"/>
  <c r="W5355" i="1"/>
  <c r="W5356" i="1"/>
  <c r="W5357" i="1"/>
  <c r="W5358" i="1"/>
  <c r="W5359" i="1"/>
  <c r="W5360" i="1"/>
  <c r="W5361" i="1"/>
  <c r="W5362" i="1"/>
  <c r="W5363" i="1"/>
  <c r="W5364" i="1"/>
  <c r="W5365" i="1"/>
  <c r="W5366" i="1"/>
  <c r="W5367" i="1"/>
  <c r="W5368" i="1"/>
  <c r="W5369" i="1"/>
  <c r="W5370" i="1"/>
  <c r="W5371" i="1"/>
  <c r="W5372" i="1"/>
  <c r="W5373" i="1"/>
  <c r="W5374" i="1"/>
  <c r="W5375" i="1"/>
  <c r="W5376" i="1"/>
  <c r="W5377" i="1"/>
  <c r="W5378" i="1"/>
  <c r="W5379" i="1"/>
  <c r="W5380" i="1"/>
  <c r="W5381" i="1"/>
  <c r="W5382" i="1"/>
  <c r="W5383" i="1"/>
  <c r="W5384" i="1"/>
  <c r="W5385" i="1"/>
  <c r="W5386" i="1"/>
  <c r="W5387" i="1"/>
  <c r="W5388" i="1"/>
  <c r="W5389" i="1"/>
  <c r="W5390" i="1"/>
  <c r="W5391" i="1"/>
  <c r="W5392" i="1"/>
  <c r="W5393" i="1"/>
  <c r="W5394" i="1"/>
  <c r="W5395" i="1"/>
  <c r="W5396" i="1"/>
  <c r="W5397" i="1"/>
  <c r="W5398" i="1"/>
  <c r="W5399" i="1"/>
  <c r="W5400" i="1"/>
  <c r="W5401" i="1"/>
  <c r="W5402" i="1"/>
  <c r="W5403" i="1"/>
  <c r="W5404" i="1"/>
  <c r="W5405" i="1"/>
  <c r="W5406" i="1"/>
  <c r="W5407" i="1"/>
  <c r="W5408" i="1"/>
  <c r="W5409" i="1"/>
  <c r="W5410" i="1"/>
  <c r="W5411" i="1"/>
  <c r="W5412" i="1"/>
  <c r="W5413" i="1"/>
  <c r="W5414" i="1"/>
  <c r="W5415" i="1"/>
  <c r="W5416" i="1"/>
  <c r="W5417" i="1"/>
  <c r="W5418" i="1"/>
  <c r="W5419" i="1"/>
  <c r="W5420" i="1"/>
  <c r="W5421" i="1"/>
  <c r="W5422" i="1"/>
  <c r="W5423" i="1"/>
  <c r="W5424" i="1"/>
  <c r="W5425" i="1"/>
  <c r="W5426" i="1"/>
  <c r="W5427" i="1"/>
  <c r="W5428" i="1"/>
  <c r="W5429" i="1"/>
  <c r="W5430" i="1"/>
  <c r="W5431" i="1"/>
  <c r="W5432" i="1"/>
  <c r="W5433" i="1"/>
  <c r="W5434" i="1"/>
  <c r="W5435" i="1"/>
  <c r="W5436" i="1"/>
  <c r="W5437" i="1"/>
  <c r="W5438" i="1"/>
  <c r="W5439" i="1"/>
  <c r="W5440" i="1"/>
  <c r="W5441" i="1"/>
  <c r="W5442" i="1"/>
  <c r="W5443" i="1"/>
  <c r="W5444" i="1"/>
  <c r="W5445" i="1"/>
  <c r="W5446" i="1"/>
  <c r="W5447" i="1"/>
  <c r="W5448" i="1"/>
  <c r="W5449" i="1"/>
  <c r="W5450" i="1"/>
  <c r="W5451" i="1"/>
  <c r="W5452" i="1"/>
  <c r="W5453" i="1"/>
  <c r="W5454" i="1"/>
  <c r="W5455" i="1"/>
  <c r="W5456" i="1"/>
  <c r="W5457" i="1"/>
  <c r="W5458" i="1"/>
  <c r="W5459" i="1"/>
  <c r="W5460" i="1"/>
  <c r="W5461" i="1"/>
  <c r="W5462" i="1"/>
  <c r="W5463" i="1"/>
  <c r="W5464" i="1"/>
  <c r="W5465" i="1"/>
  <c r="W5466" i="1"/>
  <c r="W5467" i="1"/>
  <c r="W5468" i="1"/>
  <c r="W5469" i="1"/>
  <c r="W5470" i="1"/>
  <c r="W5471" i="1"/>
  <c r="W5472" i="1"/>
  <c r="W5473" i="1"/>
  <c r="W5474" i="1"/>
  <c r="W5475" i="1"/>
  <c r="W5476" i="1"/>
  <c r="W5477" i="1"/>
  <c r="W5478" i="1"/>
  <c r="W5479" i="1"/>
  <c r="W5480" i="1"/>
  <c r="W5481" i="1"/>
  <c r="W5482" i="1"/>
  <c r="W5483" i="1"/>
  <c r="W5484" i="1"/>
  <c r="W5485" i="1"/>
  <c r="W5486" i="1"/>
  <c r="W5487" i="1"/>
  <c r="W5488" i="1"/>
  <c r="W5489" i="1"/>
  <c r="W5490" i="1"/>
  <c r="W5491" i="1"/>
  <c r="W5492" i="1"/>
  <c r="W5493" i="1"/>
  <c r="W5494" i="1"/>
  <c r="W5495" i="1"/>
  <c r="W5496" i="1"/>
  <c r="W5497" i="1"/>
  <c r="W5498" i="1"/>
  <c r="W5499" i="1"/>
  <c r="W5500" i="1"/>
  <c r="W5501" i="1"/>
  <c r="W5502" i="1"/>
  <c r="W5503" i="1"/>
  <c r="W5504" i="1"/>
  <c r="W5505" i="1"/>
  <c r="W5506" i="1"/>
  <c r="W5507" i="1"/>
  <c r="W5508" i="1"/>
  <c r="W5509" i="1"/>
  <c r="W5510" i="1"/>
  <c r="W5511" i="1"/>
  <c r="W5512" i="1"/>
  <c r="W5513" i="1"/>
  <c r="W5514" i="1"/>
  <c r="W5515" i="1"/>
  <c r="W5516" i="1"/>
  <c r="W5517" i="1"/>
  <c r="W5518" i="1"/>
  <c r="W5519" i="1"/>
  <c r="W5520" i="1"/>
  <c r="W5521" i="1"/>
  <c r="W5522" i="1"/>
  <c r="W5523" i="1"/>
  <c r="W5524" i="1"/>
  <c r="W5525" i="1"/>
  <c r="W5526" i="1"/>
  <c r="W5527" i="1"/>
  <c r="W5528" i="1"/>
  <c r="W5529" i="1"/>
  <c r="W5530" i="1"/>
  <c r="W5531" i="1"/>
  <c r="W5532" i="1"/>
  <c r="W5533" i="1"/>
  <c r="W5534" i="1"/>
  <c r="W5535" i="1"/>
  <c r="W5536" i="1"/>
  <c r="W5537" i="1"/>
  <c r="W5538" i="1"/>
  <c r="W5539" i="1"/>
  <c r="W5540" i="1"/>
  <c r="W5541" i="1"/>
  <c r="W5542" i="1"/>
  <c r="W5543" i="1"/>
  <c r="W5544" i="1"/>
  <c r="W5545" i="1"/>
  <c r="W5546" i="1"/>
  <c r="W5547" i="1"/>
  <c r="W5548" i="1"/>
  <c r="W5549" i="1"/>
  <c r="W5550" i="1"/>
  <c r="W5551" i="1"/>
  <c r="W5552" i="1"/>
  <c r="W5553" i="1"/>
  <c r="W5554" i="1"/>
  <c r="W5555" i="1"/>
  <c r="W5556" i="1"/>
  <c r="W5557" i="1"/>
  <c r="W5558" i="1"/>
  <c r="W5559" i="1"/>
  <c r="W5560" i="1"/>
  <c r="W5561" i="1"/>
  <c r="E8" i="2" l="1"/>
  <c r="E4" i="2" l="1"/>
</calcChain>
</file>

<file path=xl/sharedStrings.xml><?xml version="1.0" encoding="utf-8"?>
<sst xmlns="http://schemas.openxmlformats.org/spreadsheetml/2006/main" count="34671" uniqueCount="7161">
  <si>
    <t>Deltacoronavirus</t>
  </si>
  <si>
    <t>Bulbul coronavirus HKU11</t>
  </si>
  <si>
    <t>Mud crab virus</t>
  </si>
  <si>
    <t>Slow bee paralysis virus</t>
  </si>
  <si>
    <t>Bovine rhinitis A virus</t>
  </si>
  <si>
    <t>Melon mild mottle virus</t>
  </si>
  <si>
    <t>Bacillarnavirus</t>
  </si>
  <si>
    <t>Chaetoceros tenuissimus RNA virus 01</t>
  </si>
  <si>
    <t>Rhizosolenia setigera RNA virus 01</t>
  </si>
  <si>
    <t>Labyrnavirus</t>
  </si>
  <si>
    <t>Aurantiochytrium single-stranded RNA virus 01</t>
  </si>
  <si>
    <t>Tepovirus</t>
  </si>
  <si>
    <t>Bombyx mori latent virus</t>
  </si>
  <si>
    <t>Poinsettia mosaic virus</t>
  </si>
  <si>
    <t>Blackberry virus S</t>
  </si>
  <si>
    <t>Grapevine Syrah virus 1</t>
  </si>
  <si>
    <t>Olive latent virus 3</t>
  </si>
  <si>
    <t>Chiltepin yellow mosaic virus</t>
  </si>
  <si>
    <t>Alphatetraviridae</t>
  </si>
  <si>
    <t>Alvernaviridae</t>
  </si>
  <si>
    <t>Dinornavirus</t>
  </si>
  <si>
    <t>Heterocapsa circularisquama RNA virus 01</t>
  </si>
  <si>
    <t>Torque teno mini virus 10</t>
  </si>
  <si>
    <t>Torque teno mini virus 11</t>
  </si>
  <si>
    <t>Torque teno mini virus 12</t>
  </si>
  <si>
    <t>Torque teno felis virus 2</t>
  </si>
  <si>
    <t>Torque teno midi virus 10</t>
  </si>
  <si>
    <t>Torque teno midi virus 11</t>
  </si>
  <si>
    <t>Torque teno midi virus 12</t>
  </si>
  <si>
    <t>Torque teno midi virus 13</t>
  </si>
  <si>
    <t>Torque teno midi virus 14</t>
  </si>
  <si>
    <t>Torque teno midi virus 15</t>
  </si>
  <si>
    <t>Torque teno midi virus 3</t>
  </si>
  <si>
    <t>Torque teno midi virus 4</t>
  </si>
  <si>
    <t>Torque teno midi virus 5</t>
  </si>
  <si>
    <t>Torque teno midi virus 6</t>
  </si>
  <si>
    <t>Torque teno midi virus 7</t>
  </si>
  <si>
    <t>Torque teno midi virus 8</t>
  </si>
  <si>
    <t>Torque teno midi virus 9</t>
  </si>
  <si>
    <t>Torque teno sus virus 1a</t>
  </si>
  <si>
    <t>Torque teno sus virus 1b</t>
  </si>
  <si>
    <t>Kappatorquevirus</t>
  </si>
  <si>
    <t>Lambdatorquevirus</t>
  </si>
  <si>
    <t>Torque teno zalophus virus 1</t>
  </si>
  <si>
    <t>Avastrovirus 1</t>
  </si>
  <si>
    <t>Avastrovirus 2</t>
  </si>
  <si>
    <t>Avastrovirus 3</t>
  </si>
  <si>
    <t>Mamastrovirus 1</t>
  </si>
  <si>
    <t>Mamastrovirus 10</t>
  </si>
  <si>
    <t>Mamastrovirus 11</t>
  </si>
  <si>
    <t>Mamastrovirus 12</t>
  </si>
  <si>
    <t>Mamastrovirus 13</t>
  </si>
  <si>
    <t>Mamastrovirus 14</t>
  </si>
  <si>
    <t>Mamastrovirus 15</t>
  </si>
  <si>
    <t>Mamastrovirus 16</t>
  </si>
  <si>
    <t>Mamastrovirus 17</t>
  </si>
  <si>
    <t>Mamastrovirus 18</t>
  </si>
  <si>
    <t>Mamastrovirus 19</t>
  </si>
  <si>
    <t>Mamastrovirus 2</t>
  </si>
  <si>
    <t>Mamastrovirus 3</t>
  </si>
  <si>
    <t>Mamastrovirus 4</t>
  </si>
  <si>
    <t>Mamastrovirus 5</t>
  </si>
  <si>
    <t>Mamastrovirus 6</t>
  </si>
  <si>
    <t>Mamastrovirus 7</t>
  </si>
  <si>
    <t>Mamastrovirus 8</t>
  </si>
  <si>
    <t>Mamastrovirus 9</t>
  </si>
  <si>
    <t>Bidnaviridae</t>
  </si>
  <si>
    <t>Bidensovirus</t>
  </si>
  <si>
    <t>Bombyx mori bidensovirus</t>
  </si>
  <si>
    <t>Gayfeather mild mottle virus</t>
  </si>
  <si>
    <t>Blackberry chlorotic ringspot virus</t>
  </si>
  <si>
    <t>Lilac leaf chlorosis virus</t>
  </si>
  <si>
    <t>Strawberry necrotic shock virus</t>
  </si>
  <si>
    <t>Carmotetraviridae</t>
  </si>
  <si>
    <t>Alphacarmotetravirus</t>
  </si>
  <si>
    <t>Banana streak VN virus</t>
  </si>
  <si>
    <t>Bougainvillea chlorotic vein banding virus</t>
  </si>
  <si>
    <t>Citrus yellow mosaic virus</t>
  </si>
  <si>
    <t>Dioscorea bacilliform AL virus</t>
  </si>
  <si>
    <t>Dioscorea bacilliform SN virus</t>
  </si>
  <si>
    <t>Grapevine vein clearing virus</t>
  </si>
  <si>
    <t>Pineapple bacilliform CO virus</t>
  </si>
  <si>
    <t>Pineapple bacilliform ER virus</t>
  </si>
  <si>
    <t>Sugarcane bacilliform MO virus</t>
  </si>
  <si>
    <t>Sweet potato pakakuy virus</t>
  </si>
  <si>
    <t>Lamium leaf distortion virus</t>
  </si>
  <si>
    <t>Solendovirus</t>
  </si>
  <si>
    <t>Sweet potato vein clearing virus</t>
  </si>
  <si>
    <t>Cestrum yellow leaf curling virus</t>
  </si>
  <si>
    <t>Clavaviridae</t>
  </si>
  <si>
    <t>Clavavirus</t>
  </si>
  <si>
    <t>Aeropyrum pernix bacilliform virus 1</t>
  </si>
  <si>
    <t>Raspberry leaf mottle virus</t>
  </si>
  <si>
    <t>Strawberry chlorotic fleck-associated virus</t>
  </si>
  <si>
    <t>Corchorus yellow vein virus</t>
  </si>
  <si>
    <t>Merremia mosaic virus</t>
  </si>
  <si>
    <t>Hytrosaviridae</t>
  </si>
  <si>
    <t>Glossinavirus</t>
  </si>
  <si>
    <t>Glossina hytrovirus</t>
  </si>
  <si>
    <t>Muscavirus</t>
  </si>
  <si>
    <t>Musca hytrovirus</t>
  </si>
  <si>
    <t>Megabirnaviridae</t>
  </si>
  <si>
    <t>Megabirnavirus</t>
  </si>
  <si>
    <t>Rosellinia necatrix megabirnavirus 1</t>
  </si>
  <si>
    <t>Faba bean necrotic stunt virus</t>
  </si>
  <si>
    <t>Pea necrotic yellow dwarf virus</t>
  </si>
  <si>
    <t>Alphapapillomavirus 1</t>
  </si>
  <si>
    <t>Alphapapillomavirus 10</t>
  </si>
  <si>
    <t>Alphapapillomavirus 11</t>
  </si>
  <si>
    <t>Alphapapillomavirus 12</t>
  </si>
  <si>
    <t>Alphapapillomavirus 13</t>
  </si>
  <si>
    <t>Alphapapillomavirus 14</t>
  </si>
  <si>
    <t>Alphapapillomavirus 2</t>
  </si>
  <si>
    <t>Alphapapillomavirus 3</t>
  </si>
  <si>
    <t>Alphapapillomavirus 4</t>
  </si>
  <si>
    <t>Alphapapillomavirus 5</t>
  </si>
  <si>
    <t>Alphapapillomavirus 6</t>
  </si>
  <si>
    <t>Alphapapillomavirus 7</t>
  </si>
  <si>
    <t>Alphapapillomavirus 8</t>
  </si>
  <si>
    <t>Alphapapillomavirus 9</t>
  </si>
  <si>
    <t>Betapapillomavirus 1</t>
  </si>
  <si>
    <t>Betapapillomavirus 2</t>
  </si>
  <si>
    <t>Betapapillomavirus 3</t>
  </si>
  <si>
    <t>Betapapillomavirus 4</t>
  </si>
  <si>
    <t>Betapapillomavirus 5</t>
  </si>
  <si>
    <t>Betapapillomavirus 6</t>
  </si>
  <si>
    <t>Chipapillomavirus</t>
  </si>
  <si>
    <t>Chipapillomavirus 1</t>
  </si>
  <si>
    <t>Chipapillomavirus 2</t>
  </si>
  <si>
    <t>Deltapapillomavirus 1</t>
  </si>
  <si>
    <t>Deltapapillomavirus 2</t>
  </si>
  <si>
    <t>Deltapapillomavirus 3</t>
  </si>
  <si>
    <t>Deltapapillomavirus 4</t>
  </si>
  <si>
    <t>Deltapapillomavirus 5</t>
  </si>
  <si>
    <t>Dyodeltapapillomavirus</t>
  </si>
  <si>
    <t>Dyodeltapapillomavirus 1</t>
  </si>
  <si>
    <t>Dyoepsilonpapillomavirus</t>
  </si>
  <si>
    <t>Dyoepsilonpapillomavirus 1</t>
  </si>
  <si>
    <t>Dyoetapapillomavirus</t>
  </si>
  <si>
    <t>Dyoetapapillomavirus 1</t>
  </si>
  <si>
    <t>Dyoiotapapillomavirus</t>
  </si>
  <si>
    <t>Dyoiotapapillomavirus 1</t>
  </si>
  <si>
    <t>Dyothetapapillomavirus</t>
  </si>
  <si>
    <t>Dyothetapapillomavirus 1</t>
  </si>
  <si>
    <t>Dyozetapapillomavirus</t>
  </si>
  <si>
    <t>Dyozetapapillomavirus 1</t>
  </si>
  <si>
    <t>Epsilonpapillomavirus 1</t>
  </si>
  <si>
    <t>Etapapillomavirus 1</t>
  </si>
  <si>
    <t>Gammapapillomavirus 1</t>
  </si>
  <si>
    <t>Gammapapillomavirus 10</t>
  </si>
  <si>
    <t>Gammapapillomavirus 2</t>
  </si>
  <si>
    <t>Gammapapillomavirus 3</t>
  </si>
  <si>
    <t>Gammapapillomavirus 4</t>
  </si>
  <si>
    <t>Gammapapillomavirus 5</t>
  </si>
  <si>
    <t>Gammapapillomavirus 6</t>
  </si>
  <si>
    <t>Gammapapillomavirus 7</t>
  </si>
  <si>
    <t>Gammapapillomavirus 8</t>
  </si>
  <si>
    <t>Gammapapillomavirus 9</t>
  </si>
  <si>
    <t>Iotapapillomavirus 1</t>
  </si>
  <si>
    <t>Kappapapillomavirus 1</t>
  </si>
  <si>
    <t>Kappapapillomavirus 2</t>
  </si>
  <si>
    <t>Lambdapapillomavirus 1</t>
  </si>
  <si>
    <t>Lambdapapillomavirus 2</t>
  </si>
  <si>
    <t>Lambdapapillomavirus 3</t>
  </si>
  <si>
    <t>Lambdapapillomavirus 4</t>
  </si>
  <si>
    <t>Mupapillomavirus 1</t>
  </si>
  <si>
    <t>Mupapillomavirus 2</t>
  </si>
  <si>
    <t>Nupapillomavirus 1</t>
  </si>
  <si>
    <t>Omegapapillomavirus</t>
  </si>
  <si>
    <t>Omegapapillomavirus 1</t>
  </si>
  <si>
    <t>Omikronpapillomavirus 1</t>
  </si>
  <si>
    <t>Phipapillomavirus</t>
  </si>
  <si>
    <t>Phipapillomavirus 1</t>
  </si>
  <si>
    <t>Pipapillomavirus 1</t>
  </si>
  <si>
    <t>Pipapillomavirus 2</t>
  </si>
  <si>
    <t>Psipapillomavirus</t>
  </si>
  <si>
    <t>Psipapillomavirus 1</t>
  </si>
  <si>
    <t>Rhopapillomavirus</t>
  </si>
  <si>
    <t>Rhopapillomavirus 1</t>
  </si>
  <si>
    <t>Sigmapapillomavirus</t>
  </si>
  <si>
    <t>Sigmapapillomavirus 1</t>
  </si>
  <si>
    <t>Taupapillomavirus</t>
  </si>
  <si>
    <t>Taupapillomavirus 1</t>
  </si>
  <si>
    <t>Thetapapillomavirus 1</t>
  </si>
  <si>
    <t>Upsilonpapillomavirus</t>
  </si>
  <si>
    <t>Upsilonpapillomavirus 1</t>
  </si>
  <si>
    <t>Upsilonpapillomavirus 2</t>
  </si>
  <si>
    <t>Xipapillomavirus 1</t>
  </si>
  <si>
    <t>Zetapapillomavirus 1</t>
  </si>
  <si>
    <t>Permutotetraviridae</t>
  </si>
  <si>
    <t>Alphapermutotetravirus</t>
  </si>
  <si>
    <t>Acanthocystis turfacea chlorella virus 1</t>
  </si>
  <si>
    <t>Ostreococcus tauri virus OtV5</t>
  </si>
  <si>
    <t>Pepper chat fruit viroid</t>
  </si>
  <si>
    <t>Ugandan cassava brown streak virus</t>
  </si>
  <si>
    <t>Poacevirus</t>
  </si>
  <si>
    <t>Triticum mosaic virus</t>
  </si>
  <si>
    <t>Sunflower chlorotic mottle virus</t>
  </si>
  <si>
    <t>Sweet potato virus C</t>
  </si>
  <si>
    <t>Yambean mosaic virus</t>
  </si>
  <si>
    <t>Mule deerpox virus</t>
  </si>
  <si>
    <t>Crocodylidpoxvirus</t>
  </si>
  <si>
    <t>Nile crocodilepox virus</t>
  </si>
  <si>
    <t>Skunkpox virus</t>
  </si>
  <si>
    <t>Squirrelpox virus</t>
  </si>
  <si>
    <t>Calibrachoa mottle virus</t>
  </si>
  <si>
    <t>Honeysuckle ringspot virus</t>
  </si>
  <si>
    <t>Soybean yellow mottle mosaic virus</t>
  </si>
  <si>
    <t>Cocksfoot mild mosaic virus</t>
  </si>
  <si>
    <t>Trichomonasvirus</t>
  </si>
  <si>
    <t>Trichomonas vaginalis virus 1</t>
  </si>
  <si>
    <t>Trichomonas vaginalis virus 2</t>
  </si>
  <si>
    <t>Trichomonas vaginalis virus 3</t>
  </si>
  <si>
    <t>Dinodnavirus</t>
  </si>
  <si>
    <t>Heterocapsa circularisquama DNA virus 01</t>
  </si>
  <si>
    <t>Imperata yellow mottle virus</t>
  </si>
  <si>
    <t>Japanese soil-borne wheat mosaic virus</t>
  </si>
  <si>
    <t>Strawberry pseudo mild yellow edge virus</t>
  </si>
  <si>
    <t>Sweet potato chlorotic fleck virus</t>
  </si>
  <si>
    <t>Verbena latent virus</t>
  </si>
  <si>
    <t>Citrivirus</t>
  </si>
  <si>
    <t>Citrus leaf blotch virus</t>
  </si>
  <si>
    <t>Foveavirus</t>
  </si>
  <si>
    <t>Apple stem pitting virus</t>
  </si>
  <si>
    <t>Apricot latent virus</t>
  </si>
  <si>
    <t>Parietaria mottle virus</t>
  </si>
  <si>
    <t>Prune dwarf virus</t>
  </si>
  <si>
    <t>Prunus necrotic ringspot virus</t>
  </si>
  <si>
    <t>Rotavirus</t>
  </si>
  <si>
    <t>Alstroemeria virus X</t>
  </si>
  <si>
    <t>Alternanthera mosaic virus</t>
  </si>
  <si>
    <t>Asparagus virus 3</t>
  </si>
  <si>
    <t>Bamboo mosaic virus</t>
  </si>
  <si>
    <t>Cactus virus X</t>
  </si>
  <si>
    <t>Cassava common mosaic virus</t>
  </si>
  <si>
    <t>Cassava virus X</t>
  </si>
  <si>
    <t>Clover yellow mosaic virus</t>
  </si>
  <si>
    <t>Cymbidium mosaic virus</t>
  </si>
  <si>
    <t>Foxtail mosaic virus</t>
  </si>
  <si>
    <t>Rice ragged stunt virus</t>
  </si>
  <si>
    <t>Phytoreovirus</t>
  </si>
  <si>
    <t>Avian carcinoma Mill Hill virus 2</t>
  </si>
  <si>
    <t>Avian myeloblastosis virus</t>
  </si>
  <si>
    <t>Avian myelocytomatosis virus 29</t>
  </si>
  <si>
    <t>Avian sarcoma virus CT10</t>
  </si>
  <si>
    <t>Scrophularia mottle virus</t>
  </si>
  <si>
    <t>Sulfolobus newzealandicus droplet-shaped virus</t>
  </si>
  <si>
    <t>Hepadnaviridae</t>
  </si>
  <si>
    <t>Sweet potato mild speckling virus</t>
  </si>
  <si>
    <t>Sweet potato virus 2</t>
  </si>
  <si>
    <t>Sweet potato virus G</t>
  </si>
  <si>
    <t>Telfairia mosaic virus</t>
  </si>
  <si>
    <t>Thunberg fritillary mosaic virus</t>
  </si>
  <si>
    <t>Tobacco etch virus</t>
  </si>
  <si>
    <t>Woolly monkey hepatitis B virus</t>
  </si>
  <si>
    <t>Hypoviridae</t>
  </si>
  <si>
    <t>Hypovirus</t>
  </si>
  <si>
    <t>Cryphonectria hypovirus 1</t>
  </si>
  <si>
    <t>Cryphonectria hypovirus 2</t>
  </si>
  <si>
    <t>Cryphonectria hypovirus 3</t>
  </si>
  <si>
    <t>Hordeivirus</t>
  </si>
  <si>
    <t>Anthoxanthum latent blanching virus</t>
  </si>
  <si>
    <t>Barley stripe mosaic virus</t>
  </si>
  <si>
    <t>Lychnis ringspot virus</t>
  </si>
  <si>
    <t>Poa semilatent virus</t>
  </si>
  <si>
    <t>Idaeovirus</t>
  </si>
  <si>
    <t>Raspberry bushy dwarf virus</t>
  </si>
  <si>
    <t>Ourmiavirus</t>
  </si>
  <si>
    <t>Cassava virus C</t>
  </si>
  <si>
    <t>Epirus cherry virus</t>
  </si>
  <si>
    <t>Ourmia melon virus</t>
  </si>
  <si>
    <t>Pecluvirus</t>
  </si>
  <si>
    <t>Indian peanut clump virus</t>
  </si>
  <si>
    <t>Peanut clump virus</t>
  </si>
  <si>
    <t>Sorghum chlorotic spot virus</t>
  </si>
  <si>
    <t>Bean golden mosaic virus</t>
  </si>
  <si>
    <t>Bean golden yellow mosaic virus</t>
  </si>
  <si>
    <t>Bhendi yellow vein mosaic virus</t>
  </si>
  <si>
    <t>Boerhavia yellow spot virus</t>
  </si>
  <si>
    <t>Cabbage leaf curl Jamaica virus</t>
  </si>
  <si>
    <t>Cabbage leaf curl virus</t>
  </si>
  <si>
    <t>Chayote yellow mosaic virus</t>
  </si>
  <si>
    <t>Chilli leaf curl virus</t>
  </si>
  <si>
    <t>Chino del tomate virus</t>
  </si>
  <si>
    <t>Clerodendron golden mosaic virus</t>
  </si>
  <si>
    <t>Corchorus golden mosaic virus</t>
  </si>
  <si>
    <t>Corchorus yellow spot virus</t>
  </si>
  <si>
    <t>Arabidopsis thaliana Art1 virus</t>
  </si>
  <si>
    <t>Arabidopsis thaliana AtRE1 virus</t>
  </si>
  <si>
    <t>Cotton leaf curl Alabad virus</t>
  </si>
  <si>
    <t>Capillovirus</t>
  </si>
  <si>
    <t>Cotton leaf curl Gezira virus</t>
  </si>
  <si>
    <t>Cotton leaf curl Kokhran virus</t>
  </si>
  <si>
    <t>Cryptosporidium parvum virus 1</t>
  </si>
  <si>
    <t>Botrytis virus F</t>
  </si>
  <si>
    <t>Carnation latent virus</t>
  </si>
  <si>
    <t>Eupatorium yellow vein mosaic virus</t>
  </si>
  <si>
    <t>Mycoflexivirus</t>
  </si>
  <si>
    <t>Alphaflexiviridae</t>
  </si>
  <si>
    <t>Euphorbia leaf curl Guangxi virus</t>
  </si>
  <si>
    <t>Euphorbia leaf curl virus</t>
  </si>
  <si>
    <t>Euphorbia mosaic virus</t>
  </si>
  <si>
    <t>Tomato leaf curl Java virus</t>
  </si>
  <si>
    <t>Pepper mild mottle virus</t>
  </si>
  <si>
    <t>Ribgrass mosaic virus</t>
  </si>
  <si>
    <t>Sunn-hemp mosaic virus</t>
  </si>
  <si>
    <t>Tomato leaf curl Joydebpur virus</t>
  </si>
  <si>
    <t>Bafinivirus</t>
  </si>
  <si>
    <t>White bream virus</t>
  </si>
  <si>
    <t>Anelloviridae</t>
  </si>
  <si>
    <t>Alphatorquevirus</t>
  </si>
  <si>
    <t>Betatorquevirus</t>
  </si>
  <si>
    <t>Gammatorquevirus</t>
  </si>
  <si>
    <t>Deltatorquevirus</t>
  </si>
  <si>
    <t>Torque teno virus 4</t>
  </si>
  <si>
    <t>Torque teno virus 5</t>
  </si>
  <si>
    <t>Torque teno virus 6</t>
  </si>
  <si>
    <t>Torque teno virus 7</t>
  </si>
  <si>
    <t>Torque teno virus 8</t>
  </si>
  <si>
    <t>Torque teno virus 9</t>
  </si>
  <si>
    <t>Torque teno virus 10</t>
  </si>
  <si>
    <t>Torque teno virus 11</t>
  </si>
  <si>
    <t>Torque teno virus 12</t>
  </si>
  <si>
    <t>Torque teno virus 13</t>
  </si>
  <si>
    <t>Torque teno virus 14</t>
  </si>
  <si>
    <t>Torque teno virus 15</t>
  </si>
  <si>
    <t>Torque teno virus 16</t>
  </si>
  <si>
    <t>Torque teno virus 17</t>
  </si>
  <si>
    <t>Torque teno virus 18</t>
  </si>
  <si>
    <t>Torque teno virus 19</t>
  </si>
  <si>
    <t>Torque teno virus 20</t>
  </si>
  <si>
    <t>Torque teno virus 21</t>
  </si>
  <si>
    <t>Torque teno virus 22</t>
  </si>
  <si>
    <t>Torque teno virus 23</t>
  </si>
  <si>
    <t>Torque teno virus 24</t>
  </si>
  <si>
    <t>Mimosa yellow leaf curl virus</t>
  </si>
  <si>
    <t>Mungbean yellow mosaic India virus</t>
  </si>
  <si>
    <t>Mungbean yellow mosaic virus</t>
  </si>
  <si>
    <t>Okra yellow crinkle virus</t>
  </si>
  <si>
    <t>Okra yellow mosaic Mexico virus</t>
  </si>
  <si>
    <t>Papaya leaf curl China virus</t>
  </si>
  <si>
    <t>Papaya leaf curl Guandong virus</t>
  </si>
  <si>
    <t>Papaya leaf curl virus</t>
  </si>
  <si>
    <t>Pepper golden mosaic virus</t>
  </si>
  <si>
    <t>Pepper huasteco yellow vein virus</t>
  </si>
  <si>
    <t>Grapevine rupestris stem pitting-associated virus</t>
  </si>
  <si>
    <t>Mandarivirus</t>
  </si>
  <si>
    <t>Rice dwarf virus</t>
  </si>
  <si>
    <t>Rice gall dwarf virus</t>
  </si>
  <si>
    <t>Wound tumor virus</t>
  </si>
  <si>
    <t>Trichovirus</t>
  </si>
  <si>
    <t>Rotavirus A</t>
  </si>
  <si>
    <t>Rotavirus B</t>
  </si>
  <si>
    <t>Rotavirus C</t>
  </si>
  <si>
    <t>Rotavirus D</t>
  </si>
  <si>
    <t>Rotavirus E</t>
  </si>
  <si>
    <t>Seadornavirus</t>
  </si>
  <si>
    <t>Banna virus</t>
  </si>
  <si>
    <t>Kadipiro virus</t>
  </si>
  <si>
    <t>Liao ning virus</t>
  </si>
  <si>
    <t>Retroviridae</t>
  </si>
  <si>
    <t>Orthoretrovirinae</t>
  </si>
  <si>
    <t>Alpharetrovirus</t>
  </si>
  <si>
    <t>Kennedya yellow mosaic virus</t>
  </si>
  <si>
    <t>Melon rugose mosaic virus</t>
  </si>
  <si>
    <t>Nemesia ring necrosis virus</t>
  </si>
  <si>
    <t>Avian leukosis virus</t>
  </si>
  <si>
    <t>Passion fruit yellow mosaic virus</t>
  </si>
  <si>
    <t>Peanut yellow mosaic virus</t>
  </si>
  <si>
    <t>Petunia vein banding virus</t>
  </si>
  <si>
    <t>Physalis mottle virus</t>
  </si>
  <si>
    <t>Plantago mottle virus</t>
  </si>
  <si>
    <t>Miscanthus streak virus</t>
  </si>
  <si>
    <t>Panicum streak virus</t>
  </si>
  <si>
    <t>Sugarcane streak Egypt virus</t>
  </si>
  <si>
    <t>Sugarcane streak Reunion virus</t>
  </si>
  <si>
    <t>Sugarcane streak virus</t>
  </si>
  <si>
    <t>Tobacco yellow dwarf virus</t>
  </si>
  <si>
    <t>Wheat dwarf virus</t>
  </si>
  <si>
    <t>Topocuvirus</t>
  </si>
  <si>
    <t>Tomato pseudo-curly top virus</t>
  </si>
  <si>
    <t>Globuloviridae</t>
  </si>
  <si>
    <t>Globulovirus</t>
  </si>
  <si>
    <t>Pyrobaculum spherical virus</t>
  </si>
  <si>
    <t>Rhopalanthe virus Y</t>
  </si>
  <si>
    <t>Sarcochilus virus Y</t>
  </si>
  <si>
    <t>Scallion mosaic virus</t>
  </si>
  <si>
    <t>Shallot yellow stripe virus</t>
  </si>
  <si>
    <t>Tobacco vein banding mosaic virus</t>
  </si>
  <si>
    <t>Tobacco vein mottling virus</t>
  </si>
  <si>
    <t>Tradescantia mild mosaic virus</t>
  </si>
  <si>
    <t>Tuberose mild mosaic virus</t>
  </si>
  <si>
    <t>Tuberose mild mottle virus</t>
  </si>
  <si>
    <t>Tulip breaking virus</t>
  </si>
  <si>
    <t>Tulip mosaic virus</t>
  </si>
  <si>
    <t>Turnip mosaic virus</t>
  </si>
  <si>
    <t>Watermelon leaf mottle virus</t>
  </si>
  <si>
    <t>Watermelon mosaic virus</t>
  </si>
  <si>
    <t>Polemovirus</t>
  </si>
  <si>
    <t>Poinsettia latent virus</t>
  </si>
  <si>
    <t>Pomovirus</t>
  </si>
  <si>
    <t>Beet soil-borne virus</t>
  </si>
  <si>
    <t>Beet virus Q</t>
  </si>
  <si>
    <t>Broad bean necrosis virus</t>
  </si>
  <si>
    <t>Potato mop-top virus</t>
  </si>
  <si>
    <t>Rhizidiovirus</t>
  </si>
  <si>
    <t>Rhizidiomyces virus</t>
  </si>
  <si>
    <t>Batrachovirus</t>
  </si>
  <si>
    <t>Ranid herpesvirus 1</t>
  </si>
  <si>
    <t>Cotton leaf curl Multan virus</t>
  </si>
  <si>
    <t>Cowpea golden mosaic virus</t>
  </si>
  <si>
    <t>Allexivirus</t>
  </si>
  <si>
    <t>Garlic mite-borne filamentous virus</t>
  </si>
  <si>
    <t>Cotton leaf crumple virus</t>
  </si>
  <si>
    <t>Garlic virus D</t>
  </si>
  <si>
    <t>Garlic virus E</t>
  </si>
  <si>
    <t>Garlic virus X</t>
  </si>
  <si>
    <t>Shallot virus X</t>
  </si>
  <si>
    <t>Version:</t>
    <phoneticPr fontId="3" type="noConversion"/>
  </si>
  <si>
    <t>Apple stem grooving virus</t>
  </si>
  <si>
    <t>Cherry virus A</t>
  </si>
  <si>
    <t>Carlavirus</t>
  </si>
  <si>
    <t>Aconitum latent virus</t>
  </si>
  <si>
    <t>American hop latent virus</t>
  </si>
  <si>
    <t>Blueberry scorch virus</t>
  </si>
  <si>
    <t>Cactus virus 2</t>
  </si>
  <si>
    <t>Caper latent virus</t>
  </si>
  <si>
    <t>Obuda pepper virus</t>
  </si>
  <si>
    <t>Odontoglossum ringspot virus</t>
  </si>
  <si>
    <t>Paprika mild mottle virus</t>
  </si>
  <si>
    <t>Eupatorium yellow vein virus</t>
  </si>
  <si>
    <t>Gammacoronavirus</t>
  </si>
  <si>
    <t>Avian coronavirus</t>
  </si>
  <si>
    <t>Beluga whale coronavirus SW1</t>
  </si>
  <si>
    <t>Torovirinae</t>
  </si>
  <si>
    <t>East African cassava mosaic Cameroon virus</t>
  </si>
  <si>
    <t>East African cassava mosaic Kenya virus</t>
  </si>
  <si>
    <t>East African cassava mosaic Malawi virus</t>
  </si>
  <si>
    <t>East African cassava mosaic virus</t>
  </si>
  <si>
    <t>East African cassava mosaic Zanzibar virus</t>
  </si>
  <si>
    <t>Erectites yellow mosaic virus</t>
  </si>
  <si>
    <t>Tobamovirus</t>
  </si>
  <si>
    <t>Cucumber fruit mottle mosaic virus</t>
  </si>
  <si>
    <t>Cucumber green mottle mosaic virus</t>
  </si>
  <si>
    <t>Frangipani mosaic virus</t>
  </si>
  <si>
    <t>Hibiscus latent Fort Pierce virus</t>
  </si>
  <si>
    <t>Hibiscus latent Singapore virus</t>
  </si>
  <si>
    <t>Kyuri green mottle mosaic virus</t>
  </si>
  <si>
    <t>Tomato leaf curl Hsinchu virus</t>
  </si>
  <si>
    <t>Torque teno virus 25</t>
  </si>
  <si>
    <t>Torque teno virus 26</t>
  </si>
  <si>
    <t>Torque teno virus 27</t>
  </si>
  <si>
    <t>Torque teno virus 28</t>
  </si>
  <si>
    <t>Pepper leaf curl Lahore virus</t>
  </si>
  <si>
    <t>Pepper leaf curl virus</t>
  </si>
  <si>
    <t>Lily virus X</t>
  </si>
  <si>
    <t>Mint virus X</t>
  </si>
  <si>
    <t>Narcissus mosaic virus</t>
  </si>
  <si>
    <t>Nerine virus X</t>
  </si>
  <si>
    <t>Opuntia virus X</t>
  </si>
  <si>
    <t>Papaya mosaic virus</t>
  </si>
  <si>
    <t>Plum pox virus</t>
  </si>
  <si>
    <t>Betacoronavirus</t>
  </si>
  <si>
    <t>Murine coronavirus</t>
  </si>
  <si>
    <t>Betacoronavirus 1</t>
  </si>
  <si>
    <t>Tomato leaf curl Guangxi virus</t>
  </si>
  <si>
    <t>Tomato leaf curl Gujarat virus</t>
  </si>
  <si>
    <t>Coleviroid</t>
  </si>
  <si>
    <t>Coleus blumei viroid 1</t>
  </si>
  <si>
    <t>Coleus blumei viroid 2</t>
  </si>
  <si>
    <t>Coleus blumei viroid 3</t>
  </si>
  <si>
    <t>Hostuviroid</t>
  </si>
  <si>
    <t>Hop stunt viroid</t>
  </si>
  <si>
    <t>Pospiviroid</t>
  </si>
  <si>
    <t>Chrysanthemum stunt viroid</t>
  </si>
  <si>
    <t>Citrus exocortis viroid</t>
  </si>
  <si>
    <t>Columnea latent viroid</t>
  </si>
  <si>
    <t>Iresine viroid 1</t>
  </si>
  <si>
    <t>Potato spindle tuber viroid</t>
  </si>
  <si>
    <t>Tomato apical stunt viroid</t>
  </si>
  <si>
    <t>Tomato chlorotic dwarf viroid</t>
  </si>
  <si>
    <t>Tomato planta macho viroid</t>
  </si>
  <si>
    <t>Potyviridae</t>
  </si>
  <si>
    <t>Bymovirus</t>
  </si>
  <si>
    <t>Barley mild mosaic virus</t>
  </si>
  <si>
    <t>Barley yellow mosaic virus</t>
  </si>
  <si>
    <t>Sweet potato chlorotic stunt virus</t>
  </si>
  <si>
    <t>Tomato chlorosis virus</t>
  </si>
  <si>
    <t>Beet pseudoyellows virus</t>
  </si>
  <si>
    <t>Blackberry yellow vein-associated virus</t>
  </si>
  <si>
    <t>Torque teno tamarin virus</t>
  </si>
  <si>
    <t>Torque teno douroucouli virus</t>
  </si>
  <si>
    <t>Rabbit fibroma virus</t>
  </si>
  <si>
    <t>Squirrel fibroma virus</t>
  </si>
  <si>
    <t>Molluscipoxvirus</t>
  </si>
  <si>
    <t>Spartina mottle virus</t>
  </si>
  <si>
    <t>Sugarcane streak mosaic virus</t>
  </si>
  <si>
    <t>Leporipoxvirus</t>
  </si>
  <si>
    <t>Hare fibroma virus</t>
  </si>
  <si>
    <t>Myxoma virus</t>
  </si>
  <si>
    <t>Canarypox virus</t>
  </si>
  <si>
    <t>Fowlpox virus</t>
  </si>
  <si>
    <t>Juncopox virus</t>
  </si>
  <si>
    <t>Mynahpox virus</t>
  </si>
  <si>
    <t>Pigeonpox virus</t>
  </si>
  <si>
    <t>Psittacinepox virus</t>
  </si>
  <si>
    <t>Quailpox virus</t>
  </si>
  <si>
    <t>Sparrowpox virus</t>
  </si>
  <si>
    <t>Starlingpox virus</t>
  </si>
  <si>
    <t>Turkeypox virus</t>
  </si>
  <si>
    <t>Capripoxvirus</t>
  </si>
  <si>
    <t>Grapevine virus B</t>
  </si>
  <si>
    <t>Grapevine virus D</t>
  </si>
  <si>
    <t>Potato virus V</t>
  </si>
  <si>
    <t>Potato virus Y</t>
  </si>
  <si>
    <t>Ranunculus leaf distortion virus</t>
  </si>
  <si>
    <t>South African cassava mosaic virus</t>
  </si>
  <si>
    <t>Soybean blistering mosaic virus</t>
  </si>
  <si>
    <t>Spilanthes yellow vein virus</t>
  </si>
  <si>
    <t>Squash leaf curl China virus</t>
  </si>
  <si>
    <t>Squash leaf curl Philippines virus</t>
  </si>
  <si>
    <t>Squash leaf curl virus</t>
  </si>
  <si>
    <t>Squash leaf curl Yunnan virus</t>
  </si>
  <si>
    <t>Squash mild leaf curl virus</t>
  </si>
  <si>
    <t>Sri Lankan cassava mosaic virus</t>
  </si>
  <si>
    <t>Stachytarpheta leaf curl virus</t>
  </si>
  <si>
    <t>Sweet potato leaf curl Canary virus</t>
  </si>
  <si>
    <t>Sweet potato leaf curl China virus</t>
  </si>
  <si>
    <t>Sweet potato leaf curl Georgia virus</t>
  </si>
  <si>
    <t>Sweet potato leaf curl virus</t>
  </si>
  <si>
    <t>Tobacco curly shoot virus</t>
  </si>
  <si>
    <t>Henbane mosaic virus</t>
  </si>
  <si>
    <t>Hibbertia virus Y</t>
  </si>
  <si>
    <t>Hippeastrum mosaic virus</t>
  </si>
  <si>
    <t>Hyacinth mosaic virus</t>
  </si>
  <si>
    <t>Iris fulva mosaic virus</t>
  </si>
  <si>
    <t>Iris mild mosaic virus</t>
  </si>
  <si>
    <t>Iris severe mosaic virus</t>
  </si>
  <si>
    <t>Japanese yam mosaic virus</t>
  </si>
  <si>
    <t>Johnsongrass mosaic virus</t>
  </si>
  <si>
    <t>Konjac mosaic virus</t>
  </si>
  <si>
    <t>Leek yellow stripe virus</t>
  </si>
  <si>
    <t>Lettuce mosaic virus</t>
  </si>
  <si>
    <t>Lily mottle virus</t>
  </si>
  <si>
    <t>Lycoris mild mottle virus</t>
  </si>
  <si>
    <t>Abaca bunchy top virus</t>
  </si>
  <si>
    <t>Cardamom bushy dwarf virus</t>
  </si>
  <si>
    <t>Rose spring dwarf-associated virus</t>
  </si>
  <si>
    <t>Chickpea chlorotic stunt virus</t>
  </si>
  <si>
    <t>Melon aphid-borne yellows virus</t>
  </si>
  <si>
    <t>Brambyvirus</t>
  </si>
  <si>
    <t>Blackberry virus Y</t>
  </si>
  <si>
    <t>Emaravirus</t>
  </si>
  <si>
    <t>Omikronpapillomavirus</t>
  </si>
  <si>
    <t>Avsunviroidae</t>
  </si>
  <si>
    <t>Avsunviroid</t>
  </si>
  <si>
    <t>Avocado sunblotch viroid</t>
  </si>
  <si>
    <t>Elaviroid</t>
  </si>
  <si>
    <t>Eggplant latent viroid</t>
  </si>
  <si>
    <t>Pelamoviroid</t>
  </si>
  <si>
    <t>Chrysanthemum chlorotic mottle viroid</t>
  </si>
  <si>
    <t>Anguillid herpesvirus 1</t>
  </si>
  <si>
    <t>Munia coronavirus HKU13</t>
  </si>
  <si>
    <t>Banana streak MY virus</t>
  </si>
  <si>
    <t>Nootka lupine vein clearing virus</t>
  </si>
  <si>
    <t>Eragrostis streak virus</t>
  </si>
  <si>
    <t>Urochloa streak virus</t>
  </si>
  <si>
    <t>Miniopterus bat coronavirus 1</t>
  </si>
  <si>
    <t>Miniopterus bat coronavirus HKU8</t>
  </si>
  <si>
    <t>Rhinolophus bat coronavirus HKU2</t>
  </si>
  <si>
    <t>Scotophilus bat coronavirus 512</t>
  </si>
  <si>
    <t>Pipistrellus bat coronavirus HKU5</t>
  </si>
  <si>
    <t>Rousettus bat coronavirus HKU9</t>
  </si>
  <si>
    <t>Tylonycteris bat coronavirus HKU4</t>
  </si>
  <si>
    <t>Squash mosaic virus</t>
  </si>
  <si>
    <t>Ullucus virus C</t>
  </si>
  <si>
    <t>Broad bean wilt virus 1</t>
  </si>
  <si>
    <t>Broad bean wilt virus 2</t>
  </si>
  <si>
    <t>Gentian mosaic virus</t>
  </si>
  <si>
    <t>Mamastrovirus</t>
  </si>
  <si>
    <t>Artichoke Aegean ringspot virus</t>
  </si>
  <si>
    <t>Artichoke Italian latent virus</t>
  </si>
  <si>
    <t>Artichoke yellow ringspot virus</t>
  </si>
  <si>
    <t>Beet ringspot virus</t>
  </si>
  <si>
    <t>Blackcurrant reversion virus</t>
  </si>
  <si>
    <t>Blueberry leaf mottle virus</t>
  </si>
  <si>
    <t>Cassava American latent virus</t>
  </si>
  <si>
    <t>Cassava green mottle virus</t>
  </si>
  <si>
    <t>Maclura mosaic virus</t>
  </si>
  <si>
    <t>Narcissus latent virus</t>
  </si>
  <si>
    <t>Potyvirus</t>
  </si>
  <si>
    <t>Alstroemeria mosaic virus</t>
  </si>
  <si>
    <t>Amaranthus leaf mottle virus</t>
  </si>
  <si>
    <t>Amazon lily mosaic virus</t>
  </si>
  <si>
    <t>Apium virus Y</t>
  </si>
  <si>
    <t>Araujia mosaic virus</t>
  </si>
  <si>
    <t>Artichoke latent virus</t>
  </si>
  <si>
    <t>Asparagus virus 1</t>
  </si>
  <si>
    <t>Banana bract mosaic virus</t>
  </si>
  <si>
    <t>Basella rugose mosaic virus</t>
  </si>
  <si>
    <t>Bean common mosaic necrosis virus</t>
  </si>
  <si>
    <t>Bean common mosaic virus</t>
  </si>
  <si>
    <t>Bean yellow mosaic virus</t>
  </si>
  <si>
    <t>Beet mosaic virus</t>
  </si>
  <si>
    <t>Bidens mottle virus</t>
  </si>
  <si>
    <t>Apanteles fumiferanae bracovirus</t>
  </si>
  <si>
    <t>Ascogaster argentifrons bracovirus</t>
  </si>
  <si>
    <t>Ascogaster quadridentata bracovirus</t>
  </si>
  <si>
    <t>Cardiochiles nigriceps bracovirus</t>
  </si>
  <si>
    <t>Cotesia marginiventris bracovirus</t>
  </si>
  <si>
    <t>Cotesia melanoscela bracovirus</t>
  </si>
  <si>
    <t>Cotesia rubecula bracovirus</t>
  </si>
  <si>
    <t>Bracovirus</t>
  </si>
  <si>
    <t>Cotesia congregata bracovirus</t>
  </si>
  <si>
    <t>Cotesia flavipes bracovirus</t>
  </si>
  <si>
    <t>Carrot temperate virus 2</t>
  </si>
  <si>
    <t>Hop trefoil cryptic virus 2</t>
  </si>
  <si>
    <t>Red clover cryptic virus 2</t>
  </si>
  <si>
    <t>White clover cryptic virus 2</t>
  </si>
  <si>
    <t>Agaricus bisporus virus 4</t>
  </si>
  <si>
    <t>Aspergillus ochraceous virus</t>
  </si>
  <si>
    <t>Cotesia schaeferi bracovirus</t>
  </si>
  <si>
    <t>Diolcogaster facetosa bracovirus</t>
  </si>
  <si>
    <t>Tranosema rostrale bracovirus</t>
  </si>
  <si>
    <t>Ichnovirus</t>
  </si>
  <si>
    <t>Enterovirus</t>
  </si>
  <si>
    <t>Plodia interpunctella granulovirus</t>
  </si>
  <si>
    <t>Plutella xylostella granulovirus</t>
  </si>
  <si>
    <t>Erbovirus</t>
  </si>
  <si>
    <t>Hepatovirus</t>
  </si>
  <si>
    <t>Kobuvirus</t>
  </si>
  <si>
    <t>Culex nigripalpus nucleopolyhedrovirus</t>
  </si>
  <si>
    <t>Gammabaculovirus</t>
  </si>
  <si>
    <t>Neodiprion lecontei nucleopolyhedrovirus</t>
  </si>
  <si>
    <t>Sequivirus</t>
  </si>
  <si>
    <t>Dandelion yellow mosaic virus</t>
  </si>
  <si>
    <t>Anthriscus yellows virus</t>
  </si>
  <si>
    <t>Maize chlorotic dwarf virus</t>
  </si>
  <si>
    <t>Cheravirus</t>
  </si>
  <si>
    <t>Apple latent spherical virus</t>
  </si>
  <si>
    <t>Cherry rasp leaf virus</t>
  </si>
  <si>
    <t>Stocky prune virus</t>
  </si>
  <si>
    <t>Pennisetum mosaic virus</t>
  </si>
  <si>
    <t>Pepper mottle virus</t>
  </si>
  <si>
    <t>Pepper severe mosaic virus</t>
  </si>
  <si>
    <t>Pepper veinal mottle virus</t>
  </si>
  <si>
    <t>Pepper yellow mosaic virus</t>
  </si>
  <si>
    <t>Peru tomato mosaic virus</t>
  </si>
  <si>
    <t>Pfaffia mosaic virus</t>
  </si>
  <si>
    <t>Pleione virus Y</t>
  </si>
  <si>
    <t>Bicaudaviridae</t>
  </si>
  <si>
    <t>Bicaudavirus</t>
  </si>
  <si>
    <t>Acidianus two-tailed virus</t>
  </si>
  <si>
    <t>Spring beauty latent virus</t>
  </si>
  <si>
    <t>Cucumovirus</t>
  </si>
  <si>
    <t>Cucumber mosaic virus</t>
  </si>
  <si>
    <t>Paramecium bursaria Chlorella virus CA4A</t>
  </si>
  <si>
    <t>Paramecium bursaria Chlorella virus CA4B</t>
  </si>
  <si>
    <t>Paramecium bursaria Chlorella virus IL3A</t>
  </si>
  <si>
    <t>Acidianus filamentous virus 7</t>
  </si>
  <si>
    <t>Acidianus filamentous virus 6</t>
  </si>
  <si>
    <t>Acidianus filamentous virus 3</t>
  </si>
  <si>
    <t>Picovirinae</t>
  </si>
  <si>
    <t>Heliothis virescens ascovirus 3a</t>
  </si>
  <si>
    <t>Spodoptera frugiperda ascovirus 1a</t>
  </si>
  <si>
    <t>Anomala cuprea entomopoxvirus</t>
  </si>
  <si>
    <t>Aphodius tasmaniae entomopoxvirus</t>
  </si>
  <si>
    <t>Asfarviridae</t>
  </si>
  <si>
    <t>Asfivirus</t>
  </si>
  <si>
    <t>African swine fever virus</t>
  </si>
  <si>
    <t>Astroviridae</t>
  </si>
  <si>
    <t>Avastrovirus</t>
  </si>
  <si>
    <t>Melolontha melolontha entomopoxvirus</t>
  </si>
  <si>
    <t>Betaentomopoxvirus</t>
  </si>
  <si>
    <t>Thermoproteus tenax spherical virus 1</t>
  </si>
  <si>
    <t>Horseradish curly top virus</t>
  </si>
  <si>
    <t>Mastrevirus</t>
  </si>
  <si>
    <t>Drosophila melanogaster Gypsy virus</t>
  </si>
  <si>
    <t>Drosophila melanogaster Idefix virus</t>
  </si>
  <si>
    <t>Drosophila melanogaster Tirant virus</t>
  </si>
  <si>
    <t>Drosophila melanogaster Zam virus</t>
  </si>
  <si>
    <t>Drosophila virilis Tv1 virus</t>
  </si>
  <si>
    <t>Siadenovirus</t>
  </si>
  <si>
    <t>Japanese iris necrotic ring virus</t>
  </si>
  <si>
    <t>Melon necrotic spot virus</t>
  </si>
  <si>
    <t>Equine torovirus</t>
  </si>
  <si>
    <t>Cytomegalovirus</t>
  </si>
  <si>
    <t>Muromegalovirus</t>
  </si>
  <si>
    <t>Andean potato mottle virus</t>
  </si>
  <si>
    <t>Bean pod mottle virus</t>
  </si>
  <si>
    <t>Bean rugose mosaic virus</t>
  </si>
  <si>
    <t>Broad bean stain virus</t>
  </si>
  <si>
    <t>Cowpea severe mosaic virus</t>
  </si>
  <si>
    <t>UR2 sarcoma virus</t>
  </si>
  <si>
    <t>Y73 sarcoma virus</t>
  </si>
  <si>
    <t>Betaretrovirus</t>
  </si>
  <si>
    <t>Adoxophyes honmai nucleopolyhedrovirus</t>
  </si>
  <si>
    <t>Agrotis ipsilon multiple nucleopolyhedrovirus</t>
  </si>
  <si>
    <t>Autographa californica multiple nucleopolyhedrovirus</t>
  </si>
  <si>
    <t>Bombyx mori nucleopolyhedrovirus</t>
  </si>
  <si>
    <t>Buzura suppressaria nucleopolyhedrovirus</t>
  </si>
  <si>
    <t>Choristoneura fumiferana DEF multiple nucleopolyhedrovirus</t>
  </si>
  <si>
    <t>Phlebovirus</t>
  </si>
  <si>
    <t>Mamestra brassicae multiple nucleopolyhedrovirus</t>
  </si>
  <si>
    <t>Mamestra configurata nucleopolyhedrovirus A</t>
  </si>
  <si>
    <t>Mamestra configurata nucleopolyhedrovirus B</t>
  </si>
  <si>
    <t>Orgyia pseudotsugata multiple nucleopolyhedrovirus</t>
  </si>
  <si>
    <t>Spodoptera exigua multiple nucleopolyhedrovirus</t>
  </si>
  <si>
    <t>Equine rhinitis A virus</t>
  </si>
  <si>
    <t>Harrisina brillians granulovirus</t>
  </si>
  <si>
    <t>Cryptophlebia leucotreta granulovirus</t>
  </si>
  <si>
    <t>Cydia pomonella granulovirus</t>
  </si>
  <si>
    <t>Saccharomyces cerevisiae Ty4 virus</t>
  </si>
  <si>
    <t>Helicoverpa armigera granulovirus</t>
  </si>
  <si>
    <t>Botrexvirus</t>
  </si>
  <si>
    <t>Sirevirus</t>
  </si>
  <si>
    <t>Arabidopsis thaliana Endovir virus</t>
  </si>
  <si>
    <t>Glycine max SIRE1 virus</t>
  </si>
  <si>
    <t>Lycopersicon esculentum ToRTL1 virus</t>
  </si>
  <si>
    <t>Phnom Penh bat virus</t>
  </si>
  <si>
    <t>Powassan virus</t>
  </si>
  <si>
    <t>Rio Bravo virus</t>
  </si>
  <si>
    <t>Royal Farm virus</t>
  </si>
  <si>
    <t>Saboya virus</t>
  </si>
  <si>
    <t>Sal Vieja virus</t>
  </si>
  <si>
    <t>San Perlita virus</t>
  </si>
  <si>
    <t>Aquareovirus</t>
  </si>
  <si>
    <t>Aquareovirus A</t>
  </si>
  <si>
    <t>Aquareovirus B</t>
  </si>
  <si>
    <t>Aquareovirus C</t>
  </si>
  <si>
    <t>Aquareovirus D</t>
  </si>
  <si>
    <t>Aquareovirus E</t>
  </si>
  <si>
    <t>Aquareovirus F</t>
  </si>
  <si>
    <t>Aquareovirus G</t>
  </si>
  <si>
    <t>Cardoreovirus</t>
  </si>
  <si>
    <t>Eriocheir sinensis reovirus</t>
  </si>
  <si>
    <t>Coltivirus</t>
  </si>
  <si>
    <t>Colorado tick fever virus</t>
  </si>
  <si>
    <t>Eyach virus</t>
  </si>
  <si>
    <t>Cypovirus</t>
  </si>
  <si>
    <t>Kirsten murine sarcoma virus</t>
  </si>
  <si>
    <t>Mirabilis mosaic virus</t>
  </si>
  <si>
    <t>Strawberry vein banding virus</t>
  </si>
  <si>
    <t>Thistle mottle virus</t>
  </si>
  <si>
    <t>Cavemovirus</t>
  </si>
  <si>
    <t>Cassava vein mosaic virus</t>
  </si>
  <si>
    <t>Tobacco vein clearing virus</t>
  </si>
  <si>
    <t>Petuvirus</t>
  </si>
  <si>
    <t>Alfamovirus</t>
  </si>
  <si>
    <t>Alfalfa mosaic virus</t>
  </si>
  <si>
    <t>Anulavirus</t>
  </si>
  <si>
    <t>Pelargonium zonate spot virus</t>
  </si>
  <si>
    <t>Bromovirus</t>
  </si>
  <si>
    <t>Broad bean mottle virus</t>
  </si>
  <si>
    <t>Brome mosaic virus</t>
  </si>
  <si>
    <t>Cassia yellow blotch virus</t>
  </si>
  <si>
    <t>Rice tungro bacilliform virus</t>
  </si>
  <si>
    <t>Chrysoviridae</t>
  </si>
  <si>
    <t>Penicillium brevicompactum virus</t>
  </si>
  <si>
    <t>Penicillium chrysogenum virus</t>
  </si>
  <si>
    <t>Circoviridae</t>
  </si>
  <si>
    <t>Circovirus</t>
  </si>
  <si>
    <t>Pigeon circovirus</t>
  </si>
  <si>
    <t>Duck circovirus</t>
  </si>
  <si>
    <t>Citrus variegation virus</t>
  </si>
  <si>
    <t>Elm mottle virus</t>
  </si>
  <si>
    <t>Fragaria chiloensis latent virus</t>
  </si>
  <si>
    <t>Humulus japonicus latent virus</t>
  </si>
  <si>
    <t>Lilac ring mottle virus</t>
  </si>
  <si>
    <t>Yaba monkey tumor virus</t>
  </si>
  <si>
    <t>Yatapoxvirus</t>
  </si>
  <si>
    <t>Tanapox virus</t>
  </si>
  <si>
    <t>Entomopoxvirinae</t>
  </si>
  <si>
    <t>Victorivirus</t>
  </si>
  <si>
    <t>Tonate virus</t>
  </si>
  <si>
    <t>Trocara virus</t>
  </si>
  <si>
    <t>Una virus</t>
  </si>
  <si>
    <t>Helicobasidium mompa totivirus 1-17</t>
  </si>
  <si>
    <t>Magnaporthe oryzae virus 1</t>
  </si>
  <si>
    <t>Sphaeropsis sapinea RNA virus 1</t>
  </si>
  <si>
    <t>Sphaeropsis sapinea RNA virus 2</t>
  </si>
  <si>
    <t>Ceratocystis resinifera virus 1</t>
  </si>
  <si>
    <t>Tombusviridae</t>
  </si>
  <si>
    <t>Aureusvirus</t>
  </si>
  <si>
    <t>Cucumber leaf spot virus</t>
  </si>
  <si>
    <t>Pothos latent virus</t>
  </si>
  <si>
    <t>Avenavirus</t>
  </si>
  <si>
    <t>Oat chlorotic stunt virus</t>
  </si>
  <si>
    <t>Ahlum waterborne virus</t>
  </si>
  <si>
    <t>Angelonia flower break virus</t>
  </si>
  <si>
    <t>Bean mild mosaic virus</t>
  </si>
  <si>
    <t>Cardamine chlorotic fleck virus</t>
  </si>
  <si>
    <t>Carnation mottle virus</t>
  </si>
  <si>
    <t>Mouse mammary tumor virus</t>
  </si>
  <si>
    <t>Squirrel monkey retrovirus</t>
  </si>
  <si>
    <t>Deltaretrovirus</t>
  </si>
  <si>
    <t>Jaagsiekte sheep retrovirus</t>
  </si>
  <si>
    <t>Langur virus</t>
  </si>
  <si>
    <t>Mason-Pfizer monkey virus</t>
  </si>
  <si>
    <t>Primate T-lymphotropic virus 3</t>
  </si>
  <si>
    <t>Epsilonretrovirus</t>
  </si>
  <si>
    <t>Walleye dermal sarcoma virus</t>
  </si>
  <si>
    <t>Walleye epidermal hyperplasia virus 1</t>
  </si>
  <si>
    <t>Walleye epidermal hyperplasia virus 2</t>
  </si>
  <si>
    <t>Gammaretrovirus</t>
  </si>
  <si>
    <t>Chick syncytial virus</t>
  </si>
  <si>
    <t>Feline leukemia virus</t>
  </si>
  <si>
    <t>Finkel-Biskis-Jinkins murine sarcoma virus</t>
  </si>
  <si>
    <t>Spodoptera frugiperda multiple nucleopolyhedrovirus</t>
  </si>
  <si>
    <t>Spodoptera littoralis nucleopolyhedrovirus</t>
  </si>
  <si>
    <t>Spodoptera litura nucleopolyhedrovirus</t>
  </si>
  <si>
    <t>Thysanoplusia orichalcea nucleopolyhedrovirus</t>
  </si>
  <si>
    <t>Trichoplusia ni single nucleopolyhedrovirus</t>
  </si>
  <si>
    <t>Tomato yellow leaf curl Sardinia virus</t>
  </si>
  <si>
    <t>Tomato yellow leaf curl Thailand virus</t>
  </si>
  <si>
    <t>Tomato yellow leaf curl Vietnam virus</t>
  </si>
  <si>
    <t>Senecio yellow mosaic virus</t>
  </si>
  <si>
    <t>Sida golden mosaic Costa Rica virus</t>
  </si>
  <si>
    <t>Sida golden mosaic Florida virus</t>
  </si>
  <si>
    <t>Sida golden mosaic virus</t>
  </si>
  <si>
    <t>Sida golden yellow vein virus</t>
  </si>
  <si>
    <t>Sida leaf curl virus</t>
  </si>
  <si>
    <t>Sida micrantha mosaic virus</t>
  </si>
  <si>
    <t>Sida mottle virus</t>
  </si>
  <si>
    <t>Sida yellow mosaic China virus</t>
  </si>
  <si>
    <t>Sida yellow mosaic virus</t>
  </si>
  <si>
    <t>Influenza B virus</t>
  </si>
  <si>
    <t>Influenza C virus</t>
  </si>
  <si>
    <t>Isavirus</t>
  </si>
  <si>
    <t>Thogotovirus</t>
  </si>
  <si>
    <t>Papillomaviridae</t>
  </si>
  <si>
    <t>Alphapapillomavirus</t>
  </si>
  <si>
    <t>Paramecium bursaria Chlorella virus NC1A</t>
  </si>
  <si>
    <t>Paramecium bursaria Chlorella virus XZ4A</t>
  </si>
  <si>
    <t>Paramecium bursaria Chlorella virus XZ4C</t>
  </si>
  <si>
    <t>Coccolithovirus</t>
  </si>
  <si>
    <t>Paramecium bursaria Chlorella virus SC1A</t>
  </si>
  <si>
    <t>Paramecium bursaria Chlorella virus XY6E</t>
  </si>
  <si>
    <t>Wheat spindle streak mosaic virus</t>
  </si>
  <si>
    <t>Wheat yellow mosaic virus</t>
  </si>
  <si>
    <t>Ipomovirus</t>
  </si>
  <si>
    <t>Epsilonpapillomavirus</t>
  </si>
  <si>
    <t>Omegatetravirus</t>
  </si>
  <si>
    <t>Dendrolimus punctatus virus</t>
  </si>
  <si>
    <t>Helicoverpa armigera stunt virus</t>
  </si>
  <si>
    <t>Nudaurelia capensis omega virus</t>
  </si>
  <si>
    <t>Togaviridae</t>
  </si>
  <si>
    <t>Alphavirus</t>
  </si>
  <si>
    <t>Aura virus</t>
  </si>
  <si>
    <t>Barmah Forest virus</t>
  </si>
  <si>
    <t>Bebaru virus</t>
  </si>
  <si>
    <t>Cabassou virus</t>
  </si>
  <si>
    <t>Chikungunya virus</t>
  </si>
  <si>
    <t>Eastern equine encephalitis virus</t>
  </si>
  <si>
    <t>Everglades virus</t>
  </si>
  <si>
    <t>Fort Morgan virus</t>
  </si>
  <si>
    <t>Getah virus</t>
  </si>
  <si>
    <t>Highlands J virus</t>
  </si>
  <si>
    <t>Mayaro virus</t>
  </si>
  <si>
    <t>Middelburg virus</t>
  </si>
  <si>
    <t>Mucambo virus</t>
  </si>
  <si>
    <t>Ndumu virus</t>
  </si>
  <si>
    <t>Pixuna virus</t>
  </si>
  <si>
    <t>Tomato leaf curl Karnataka virus</t>
  </si>
  <si>
    <t>Betapapillomavirus</t>
  </si>
  <si>
    <t>Picobirnaviridae</t>
  </si>
  <si>
    <t>Picobirnavirus</t>
  </si>
  <si>
    <t>Human picobirnavirus</t>
  </si>
  <si>
    <t>Rabbit picobirnavirus</t>
  </si>
  <si>
    <t>Tomato yellow leaf curl Indonesia virus</t>
  </si>
  <si>
    <t>Tomato yellow leaf curl Kanchanaburi virus</t>
  </si>
  <si>
    <t>Beet black scorch virus</t>
  </si>
  <si>
    <t>Chenopodium necrosis virus</t>
  </si>
  <si>
    <t>Leek white stripe virus</t>
  </si>
  <si>
    <t>Olive latent virus 1</t>
  </si>
  <si>
    <t>Olive mild mosaic virus</t>
  </si>
  <si>
    <t>Tobacco necrosis virus A</t>
  </si>
  <si>
    <t>Hop trefoil cryptic virus 1</t>
  </si>
  <si>
    <t>Hop trefoil cryptic virus 3</t>
  </si>
  <si>
    <t>Radish yellow edge virus</t>
  </si>
  <si>
    <t>Ryegrass cryptic virus</t>
  </si>
  <si>
    <t>Spinach temperate virus</t>
  </si>
  <si>
    <t>Vicia cryptic virus</t>
  </si>
  <si>
    <t>White clover cryptic virus 1</t>
  </si>
  <si>
    <t>White clover cryptic virus 3</t>
  </si>
  <si>
    <t>Petunia asteroid mosaic virus</t>
  </si>
  <si>
    <t>Glyptapanteles flavicoxis bracovirus</t>
  </si>
  <si>
    <t>Maize dwarf mosaic virus</t>
  </si>
  <si>
    <t>Meadow saffron breaking virus</t>
  </si>
  <si>
    <t>Moroccan watermelon mosaic virus</t>
  </si>
  <si>
    <t>Microplitis demolitor bracovirus</t>
  </si>
  <si>
    <t>Penicillium stoloniferum virus S</t>
  </si>
  <si>
    <t>Rhizoctonia solani virus 717</t>
  </si>
  <si>
    <t>Nothoscordum mosaic virus</t>
  </si>
  <si>
    <t>Onion yellow dwarf virus</t>
  </si>
  <si>
    <t>Ornithogalum mosaic virus</t>
  </si>
  <si>
    <t>Campoletis flavicincta ichnovirus</t>
  </si>
  <si>
    <t>Campoletis sonorensis ichnovirus</t>
  </si>
  <si>
    <t>Casinaria arjuna ichnovirus</t>
  </si>
  <si>
    <t>Gremmeniella abietina RNA virus MS1</t>
  </si>
  <si>
    <t>Podoviridae</t>
  </si>
  <si>
    <t>Siphoviridae</t>
  </si>
  <si>
    <t>Herpesvirales</t>
  </si>
  <si>
    <t>Alloherpesviridae</t>
  </si>
  <si>
    <t>Ictalurid herpesvirus 1</t>
  </si>
  <si>
    <t>Cyprinid herpesvirus 3</t>
  </si>
  <si>
    <t>Herpesviridae</t>
  </si>
  <si>
    <t>Alphaherpesvirinae</t>
  </si>
  <si>
    <t>Iltovirus</t>
  </si>
  <si>
    <t>Influenza A virus</t>
  </si>
  <si>
    <t>Quail pea mosaic virus</t>
  </si>
  <si>
    <t>Radish mosaic virus</t>
  </si>
  <si>
    <t>Emiliania huxleyi virus 86</t>
  </si>
  <si>
    <t>Phaeovirus</t>
  </si>
  <si>
    <t>Ectocarpus fasciculatus virus a</t>
  </si>
  <si>
    <t>Rice necrosis mosaic virus</t>
  </si>
  <si>
    <t>Lamium mild mosaic virus</t>
  </si>
  <si>
    <t>Apricot latent ringspot virus</t>
  </si>
  <si>
    <t>Arabis mosaic virus</t>
  </si>
  <si>
    <t>Arracacha virus A</t>
  </si>
  <si>
    <t>Cassava brown streak virus</t>
  </si>
  <si>
    <t>Cucumber vein yellowing virus</t>
  </si>
  <si>
    <t>Squash vein yellowing virus</t>
  </si>
  <si>
    <t>Sweet potato mild mottle virus</t>
  </si>
  <si>
    <t>Macluravirus</t>
  </si>
  <si>
    <t>Alpinia mosaic virus</t>
  </si>
  <si>
    <t>Cardamom mosaic virus</t>
  </si>
  <si>
    <t>Chinese yam necrotic mosaic virus</t>
  </si>
  <si>
    <t>Etapapillomavirus</t>
  </si>
  <si>
    <t>Gammapapillomavirus</t>
  </si>
  <si>
    <t>Ectocarpus siliculosus virus 1</t>
  </si>
  <si>
    <t>Ectocarpus siliculosus virus a</t>
  </si>
  <si>
    <t>Feldmannia irregularis virus a</t>
  </si>
  <si>
    <t>Feldmannia species virus</t>
  </si>
  <si>
    <t>Feldmannia species virus a</t>
  </si>
  <si>
    <t>Hincksia hinckiae virus a</t>
  </si>
  <si>
    <t>Myriotrichia clavaeformis virus a</t>
  </si>
  <si>
    <t>Pilayella littoralis virus 1</t>
  </si>
  <si>
    <t>Prasinovirus</t>
  </si>
  <si>
    <t>Micromonas pusilla virus SP1</t>
  </si>
  <si>
    <t>Prymnesiovirus</t>
  </si>
  <si>
    <t>Chrysochromulina brevifilum virus PW1</t>
  </si>
  <si>
    <t>Raphidovirus</t>
  </si>
  <si>
    <t>Heterosigma akashiwo virus 01</t>
  </si>
  <si>
    <t>Chelonus altitudinis bracovirus</t>
  </si>
  <si>
    <t>Chelonus blackburni bracovirus</t>
  </si>
  <si>
    <t>Chelonus inanitus bracovirus</t>
  </si>
  <si>
    <t>Chelonus insularis bracovirus</t>
  </si>
  <si>
    <t>Plasmaviridae</t>
  </si>
  <si>
    <t>Plasmavirus</t>
  </si>
  <si>
    <t>Polydnaviridae</t>
  </si>
  <si>
    <t>Apanteles crassicornis bracovirus</t>
  </si>
  <si>
    <t>Alfalfa cryptic virus 1</t>
  </si>
  <si>
    <t>Beet cryptic virus 1</t>
  </si>
  <si>
    <t>Beet cryptic virus 2</t>
  </si>
  <si>
    <t>Beet cryptic virus 3</t>
  </si>
  <si>
    <t>Carnation cryptic virus 1</t>
  </si>
  <si>
    <t>Carrot temperate virus 1</t>
  </si>
  <si>
    <t>Carrot temperate virus 3</t>
  </si>
  <si>
    <t>Carrot temperate virus 4</t>
  </si>
  <si>
    <t>Phanerotoma flavitestacea bracovirus</t>
  </si>
  <si>
    <t>Pholetesor ornigis bracovirus</t>
  </si>
  <si>
    <t>Glyptapanteles indiensis bracovirus</t>
  </si>
  <si>
    <t>Glyptapanteles liparidis bracovirus</t>
  </si>
  <si>
    <t>Campoletis aprilis ichnovirus</t>
  </si>
  <si>
    <t>Narcissus degeneration virus</t>
  </si>
  <si>
    <t>Narcissus late season yellows virus</t>
  </si>
  <si>
    <t>Narcissus yellow stripe virus</t>
  </si>
  <si>
    <t>Nerine yellow stripe virus</t>
  </si>
  <si>
    <t>Parechovirus</t>
  </si>
  <si>
    <t>Teschovirus</t>
  </si>
  <si>
    <t>Ornithogalum virus 2</t>
  </si>
  <si>
    <t>Ornithogalum virus 3</t>
  </si>
  <si>
    <t>Papaya leaf distortion mosaic virus</t>
  </si>
  <si>
    <t>Papaya ringspot virus</t>
  </si>
  <si>
    <t>Parsnip mosaic virus</t>
  </si>
  <si>
    <t>Passiflora chlorosis virus</t>
  </si>
  <si>
    <t>Passion fruit woodiness virus</t>
  </si>
  <si>
    <t>Pea seed-borne mosaic virus</t>
  </si>
  <si>
    <t>Peanut mottle virus</t>
  </si>
  <si>
    <t>Casinaria forcipata ichnovirus</t>
  </si>
  <si>
    <t>Casinaria infesta ichnovirus</t>
  </si>
  <si>
    <t>Diadegma acronyctae ichnovirus</t>
  </si>
  <si>
    <t>Diadegma interruptum ichnovirus</t>
  </si>
  <si>
    <t>Diadegma terebrans ichnovirus</t>
  </si>
  <si>
    <t>Enytus montanus ichnovirus</t>
  </si>
  <si>
    <t>Eriborus terebrans ichnovirus</t>
  </si>
  <si>
    <t>Glypta fumiferanae ichnovirus</t>
  </si>
  <si>
    <t>Hyposoter annulipes ichnovirus</t>
  </si>
  <si>
    <t>Hyposoter exiguae ichnovirus</t>
  </si>
  <si>
    <t>Hyposoter fugitivus ichnovirus</t>
  </si>
  <si>
    <t>Hyposoter lymantriae ichnovirus</t>
  </si>
  <si>
    <t>Hyposoter pilosulus ichnovirus</t>
  </si>
  <si>
    <t>Hyposoter rivalis ichnovirus</t>
  </si>
  <si>
    <t>Olesicampe benefactor ichnovirus</t>
  </si>
  <si>
    <t>Olesicampe geniculatae ichnovirus</t>
  </si>
  <si>
    <t>Synetaeris tenuifemur ichnovirus</t>
  </si>
  <si>
    <t>Polyomaviridae</t>
  </si>
  <si>
    <t>Paramecium bursaria Chlorella virus AL2A</t>
  </si>
  <si>
    <t>Paramecium bursaria Chlorella virus BJ2C</t>
  </si>
  <si>
    <t>Senecavirus</t>
  </si>
  <si>
    <t>Tremovirus</t>
  </si>
  <si>
    <t>Iguanid herpesvirus 2</t>
  </si>
  <si>
    <t>Ostreavirus</t>
  </si>
  <si>
    <t>Ostreid herpesvirus 1</t>
  </si>
  <si>
    <t>Mononegavirales</t>
  </si>
  <si>
    <t>Ichtadenovirus</t>
  </si>
  <si>
    <t>Salterprovirus</t>
  </si>
  <si>
    <t>His 1 virus</t>
  </si>
  <si>
    <t>Sobemovirus</t>
  </si>
  <si>
    <t>Blueberry shoestring virus</t>
  </si>
  <si>
    <t>Cocksfoot mottle virus</t>
  </si>
  <si>
    <t>Lucerne transient streak virus</t>
  </si>
  <si>
    <t>Rice yellow mottle virus</t>
  </si>
  <si>
    <t>Ryegrass mottle virus</t>
  </si>
  <si>
    <t>Plectrovirus</t>
  </si>
  <si>
    <t>Cryphonectria mitovirus 1</t>
  </si>
  <si>
    <t>Ophiostoma mitovirus 3a</t>
  </si>
  <si>
    <t>Ophiostoma mitovirus 4</t>
  </si>
  <si>
    <t>Ophiostoma mitovirus 5</t>
  </si>
  <si>
    <t>Ophiostoma mitovirus 6</t>
  </si>
  <si>
    <t>Narnavirus</t>
  </si>
  <si>
    <t>Saccharomyces 20S RNA narnavirus</t>
  </si>
  <si>
    <t>Invertebrate iridescent virus 6</t>
  </si>
  <si>
    <t>Lymphocystivirus</t>
  </si>
  <si>
    <t>Lymphocystis disease virus 1</t>
  </si>
  <si>
    <t>Megalocytivirus</t>
  </si>
  <si>
    <t>Infectious spleen and kidney necrosis virus</t>
  </si>
  <si>
    <t>Ranavirus</t>
  </si>
  <si>
    <t>Ambystoma tigrinum virus</t>
  </si>
  <si>
    <t>Iridovirus</t>
  </si>
  <si>
    <t>Triatoma virus</t>
  </si>
  <si>
    <t>Acute bee paralysis virus</t>
  </si>
  <si>
    <t>Kashmir bee virus</t>
  </si>
  <si>
    <t>Taura syndrome virus</t>
  </si>
  <si>
    <t>Dicistroviridae</t>
  </si>
  <si>
    <t>Cripavirus</t>
  </si>
  <si>
    <t>Aphid lethal paralysis virus</t>
  </si>
  <si>
    <t>Black queen cell virus</t>
  </si>
  <si>
    <t>Cricket paralysis virus</t>
  </si>
  <si>
    <t>Drosophila C virus</t>
  </si>
  <si>
    <t>Plautia stali intestine virus</t>
  </si>
  <si>
    <t>Rhopalosiphum padi virus</t>
  </si>
  <si>
    <t>Aphthovirus</t>
  </si>
  <si>
    <t>Tobacco mottle virus</t>
  </si>
  <si>
    <t>Order</t>
  </si>
  <si>
    <t>Tomato yellow margin leaf curl virus</t>
  </si>
  <si>
    <t>Tomato yellow spot virus</t>
  </si>
  <si>
    <t>Tomato yellow vein streak virus</t>
  </si>
  <si>
    <t>Errantivirus</t>
  </si>
  <si>
    <t>Ceratitis capitata Yoyo virus</t>
  </si>
  <si>
    <t>Drosophila ananassae Tom virus</t>
  </si>
  <si>
    <t>Drosophila melanogaster 297 virus</t>
  </si>
  <si>
    <t>Iotapapillomavirus</t>
  </si>
  <si>
    <t>Trichoplusia ni TED virus</t>
  </si>
  <si>
    <t>Metavirus</t>
  </si>
  <si>
    <t>Arabidopsis thaliana Athila virus</t>
  </si>
  <si>
    <t>Arabidopsis thaliana Tat4 virus</t>
  </si>
  <si>
    <t>Bombyx mori Mag virus</t>
  </si>
  <si>
    <t>Caenorhabditis elegans Cer1 virus</t>
  </si>
  <si>
    <t>Cladosporium fulvum T-1 virus</t>
  </si>
  <si>
    <t>Dictyostelium discoideum Skipper virus</t>
  </si>
  <si>
    <t>Ampullaviridae</t>
  </si>
  <si>
    <t>Ampullavirus</t>
  </si>
  <si>
    <t>Acidianus bottle-shaped virus</t>
  </si>
  <si>
    <t>Arenaviridae</t>
  </si>
  <si>
    <t>Human coronavirus NL63</t>
  </si>
  <si>
    <t>Porcine epidemic diarrhea virus</t>
  </si>
  <si>
    <t>Torovirus</t>
  </si>
  <si>
    <t>Bovine torovirus</t>
  </si>
  <si>
    <t>Porcine torovirus</t>
  </si>
  <si>
    <t>Roniviridae</t>
  </si>
  <si>
    <t>Okavirus</t>
  </si>
  <si>
    <t>Gill-associated virus</t>
  </si>
  <si>
    <t>Picornavirales</t>
  </si>
  <si>
    <t>Broad bean true mosaic virus</t>
  </si>
  <si>
    <t>Cowpea mosaic virus</t>
  </si>
  <si>
    <t>Sapelovirus</t>
  </si>
  <si>
    <t>Malacoherpesviridae</t>
  </si>
  <si>
    <t>Avihepatovirus</t>
  </si>
  <si>
    <t>Hepeviridae</t>
  </si>
  <si>
    <t>Sowbane mosaic virus</t>
  </si>
  <si>
    <t>Subterranean clover mottle virus</t>
  </si>
  <si>
    <t>Turnip rosette virus</t>
  </si>
  <si>
    <t>Velvet tobacco mottle virus</t>
  </si>
  <si>
    <t>Tenuivirus</t>
  </si>
  <si>
    <t>Milk vetch dwarf virus</t>
  </si>
  <si>
    <t>Subterranean clover stunt virus</t>
  </si>
  <si>
    <t>Coconut foliar decay virus</t>
  </si>
  <si>
    <t>Narnaviridae</t>
  </si>
  <si>
    <t>Mitovirus</t>
  </si>
  <si>
    <t>Saccharomyces 23S RNA narnavirus</t>
  </si>
  <si>
    <t>Nimaviridae</t>
  </si>
  <si>
    <t>Whispovirus</t>
  </si>
  <si>
    <t>White spot syndrome virus</t>
  </si>
  <si>
    <t>Nodaviridae</t>
  </si>
  <si>
    <t>Alphanodavirus</t>
  </si>
  <si>
    <t>Black beetle virus</t>
  </si>
  <si>
    <t>Boolarra virus</t>
  </si>
  <si>
    <t>Flock House virus</t>
  </si>
  <si>
    <t>Nodamura virus</t>
  </si>
  <si>
    <t>Pariacoto virus</t>
  </si>
  <si>
    <t>Betanodavirus</t>
  </si>
  <si>
    <t>Barfin flounder nervous necrosis virus</t>
  </si>
  <si>
    <t>Epizootic haematopoietic necrosis virus</t>
  </si>
  <si>
    <t>Frog virus 3</t>
  </si>
  <si>
    <t>Santee-Cooper ranavirus</t>
  </si>
  <si>
    <t>Leviviridae</t>
  </si>
  <si>
    <t>Allolevivirus</t>
  </si>
  <si>
    <t>Iflaviridae</t>
  </si>
  <si>
    <t>Iflavirus</t>
  </si>
  <si>
    <t>Deformed wing virus</t>
  </si>
  <si>
    <t>Ectropis obliqua virus</t>
  </si>
  <si>
    <t>Infectious flacherie virus</t>
  </si>
  <si>
    <t>Perina nuda virus</t>
  </si>
  <si>
    <t>Sacbrood virus</t>
  </si>
  <si>
    <t>Marnaviridae</t>
  </si>
  <si>
    <t>Marnavirus</t>
  </si>
  <si>
    <t>Heterosigma akashiwo RNA virus</t>
  </si>
  <si>
    <t>Picornaviridae</t>
  </si>
  <si>
    <t>Deltalipothrixvirus</t>
  </si>
  <si>
    <t>Carrot mottle virus</t>
  </si>
  <si>
    <t>Groundnut rosette virus</t>
  </si>
  <si>
    <t>Novirhabdovirus</t>
  </si>
  <si>
    <t>Tobacco bushy top virus</t>
  </si>
  <si>
    <t>Enamovirus</t>
  </si>
  <si>
    <t>Luteovirus</t>
  </si>
  <si>
    <t>Soybean dwarf virus</t>
  </si>
  <si>
    <t>Chickpea stunt disease associated virus</t>
  </si>
  <si>
    <t>Vernonia yellow vein virus</t>
  </si>
  <si>
    <t>Watermelon chlorotic stunt virus</t>
  </si>
  <si>
    <t>Curtovirus</t>
  </si>
  <si>
    <t>Beet curly top virus</t>
  </si>
  <si>
    <t>Flaviviridae</t>
  </si>
  <si>
    <t>Flavivirus</t>
  </si>
  <si>
    <t>Apoi virus</t>
  </si>
  <si>
    <t>Aroa virus</t>
  </si>
  <si>
    <t>Bagaza virus</t>
  </si>
  <si>
    <t>Banzi virus</t>
  </si>
  <si>
    <t>Bouboui virus</t>
  </si>
  <si>
    <t>Bukalasa bat virus</t>
  </si>
  <si>
    <t>Kappapapillomavirus</t>
  </si>
  <si>
    <t>Lambdapapillomavirus</t>
  </si>
  <si>
    <t>Mupapillomavirus</t>
  </si>
  <si>
    <t>Nupapillomavirus</t>
  </si>
  <si>
    <t>Pipapillomavirus</t>
  </si>
  <si>
    <t>Thetapapillomavirus</t>
  </si>
  <si>
    <t>Drosophila buzzatii Osvaldo virus</t>
  </si>
  <si>
    <t>Drosophila melanogaster 412 virus</t>
  </si>
  <si>
    <t>Drosophila melanogaster Blastopia virus</t>
  </si>
  <si>
    <t>Drosophila melanogaster Mdg1 virus</t>
  </si>
  <si>
    <t>Drosophila melanogaster Mdg3 virus</t>
  </si>
  <si>
    <t>Drosophila melanogaster Micropia virus</t>
  </si>
  <si>
    <t>Glycine mosaic virus</t>
  </si>
  <si>
    <t>Pea green mottle virus</t>
  </si>
  <si>
    <t>Gokushovirinae</t>
  </si>
  <si>
    <t>Caenorhabditis elegans Cer13 virus</t>
  </si>
  <si>
    <t>Drosophila melanogaster Bel virus</t>
  </si>
  <si>
    <t>Drosophila melanogaster Roo virus</t>
  </si>
  <si>
    <t>Gooseberry vein banding associated virus</t>
  </si>
  <si>
    <t>Spinareovirinae</t>
  </si>
  <si>
    <t>Sedoreovirinae</t>
  </si>
  <si>
    <t>Wiseana signata nucleopolyhedrovirus</t>
  </si>
  <si>
    <t>Betabaculovirus</t>
  </si>
  <si>
    <t>Adoxophyes orana granulovirus</t>
  </si>
  <si>
    <t>Artogeia rapae granulovirus</t>
  </si>
  <si>
    <t>Choristoneura fumiferana granulovirus</t>
  </si>
  <si>
    <t>Botrytis virus X</t>
  </si>
  <si>
    <t>Tymovirales</t>
  </si>
  <si>
    <t>Betaflexiviridae</t>
  </si>
  <si>
    <t>Murray Valley encephalitis virus</t>
  </si>
  <si>
    <t>Ntaya virus</t>
  </si>
  <si>
    <t>Omsk hemorrhagic fever virus</t>
  </si>
  <si>
    <t>Horsegram yellow mosaic virus</t>
  </si>
  <si>
    <t>Indian cassava mosaic virus</t>
  </si>
  <si>
    <t>Kudzu mosaic virus</t>
  </si>
  <si>
    <t>Lindernia anagallis yellow vein virus</t>
  </si>
  <si>
    <t>Tobacco latent virus</t>
  </si>
  <si>
    <t>Saumarez Reef virus</t>
  </si>
  <si>
    <t>Sepik virus</t>
  </si>
  <si>
    <t>Tembusu virus</t>
  </si>
  <si>
    <t>Tick-borne encephalitis virus</t>
  </si>
  <si>
    <t>Tyuleniy virus</t>
  </si>
  <si>
    <t>Uganda S virus</t>
  </si>
  <si>
    <t>Usutu virus</t>
  </si>
  <si>
    <t>Wesselsbron virus</t>
  </si>
  <si>
    <t>West Nile virus</t>
  </si>
  <si>
    <t>Yaounde virus</t>
  </si>
  <si>
    <t>Yellow fever virus</t>
  </si>
  <si>
    <t>Yokose virus</t>
  </si>
  <si>
    <t>Zika virus</t>
  </si>
  <si>
    <t>Hepacivirus</t>
  </si>
  <si>
    <t>Pestivirus</t>
  </si>
  <si>
    <t>Ludwigia yellow vein Vietnam virus</t>
  </si>
  <si>
    <t>Ludwigia yellow vein virus</t>
  </si>
  <si>
    <t>Luffa yellow mosaic virus</t>
  </si>
  <si>
    <t>Moloney murine sarcoma virus</t>
  </si>
  <si>
    <t>Murine leukemia virus</t>
  </si>
  <si>
    <t>Porcine type-C oncovirus</t>
  </si>
  <si>
    <t>Reticuloendotheliosis virus</t>
  </si>
  <si>
    <t>Petunia vein clearing virus</t>
  </si>
  <si>
    <t>Soymovirus</t>
  </si>
  <si>
    <t>Blueberry red ringspot virus</t>
  </si>
  <si>
    <t>Peanut chlorotic streak virus</t>
  </si>
  <si>
    <t>Soybean chlorotic mottle virus</t>
  </si>
  <si>
    <t>Tungrovirus</t>
  </si>
  <si>
    <t>Caprine arthritis encephalitis virus</t>
  </si>
  <si>
    <t>Equine infectious anemia virus</t>
  </si>
  <si>
    <t>Feline immunodeficiency virus</t>
  </si>
  <si>
    <t>Human immunodeficiency virus 1</t>
  </si>
  <si>
    <t>Human immunodeficiency virus 2</t>
  </si>
  <si>
    <t>Puma lentivirus</t>
  </si>
  <si>
    <t>Simian immunodeficiency virus</t>
  </si>
  <si>
    <t>Spumaretrovirinae</t>
  </si>
  <si>
    <t>Finch circovirus</t>
  </si>
  <si>
    <t>Goose circovirus</t>
  </si>
  <si>
    <t>Gull circovirus</t>
  </si>
  <si>
    <t>Indian citrus ringspot virus</t>
  </si>
  <si>
    <t>Potexvirus</t>
  </si>
  <si>
    <t>Spinach latent virus</t>
  </si>
  <si>
    <t>Orthopoxvirus</t>
  </si>
  <si>
    <t>Camelpox virus</t>
  </si>
  <si>
    <t>Cowpox virus</t>
  </si>
  <si>
    <t>Ectromelia virus</t>
  </si>
  <si>
    <t>Monkeypox virus</t>
  </si>
  <si>
    <t>Raccoonpox virus</t>
  </si>
  <si>
    <t>Taterapox virus</t>
  </si>
  <si>
    <t>Vaccinia virus</t>
  </si>
  <si>
    <t>Variola virus</t>
  </si>
  <si>
    <t>Volepox virus</t>
  </si>
  <si>
    <t>Parapoxvirus</t>
  </si>
  <si>
    <t>Bovine papular stomatitis virus</t>
  </si>
  <si>
    <t>Orf virus</t>
  </si>
  <si>
    <t>Parapoxvirus of red deer in New Zealand</t>
  </si>
  <si>
    <t>Pseudocowpox virus</t>
  </si>
  <si>
    <t>Suipoxvirus</t>
  </si>
  <si>
    <t>Swinepox virus</t>
  </si>
  <si>
    <t>Chalara elegans RNA Virus 1</t>
  </si>
  <si>
    <t>Coniothyrium minitans RNA virus</t>
  </si>
  <si>
    <t>Epichloe festucae virus 1</t>
  </si>
  <si>
    <t>Gremmeniella abietina RNA virus L1</t>
  </si>
  <si>
    <t>Avihepadnavirus</t>
  </si>
  <si>
    <t>Duck hepatitis B virus</t>
  </si>
  <si>
    <t>Heron hepatitis B virus</t>
  </si>
  <si>
    <t>Orthohepadnavirus</t>
  </si>
  <si>
    <t>Ground squirrel hepatitis virus</t>
  </si>
  <si>
    <t>Hepatitis B virus</t>
  </si>
  <si>
    <t>Woodchuck hepatitis virus</t>
  </si>
  <si>
    <t>Ophiostoma partitivirus 1</t>
  </si>
  <si>
    <t>Penicillium stoloniferum virus F</t>
  </si>
  <si>
    <t>Pleurotus ostreatus virus 1</t>
  </si>
  <si>
    <t>Cryspovirus</t>
  </si>
  <si>
    <t>Turnip yellow mosaic virus</t>
  </si>
  <si>
    <t>Voandzeia necrotic mosaic virus</t>
  </si>
  <si>
    <t>Wild cucumber mosaic virus</t>
  </si>
  <si>
    <t>Benyvirus</t>
  </si>
  <si>
    <t>Beet necrotic yellow vein virus</t>
  </si>
  <si>
    <t>Beet soil-borne mosaic virus</t>
  </si>
  <si>
    <t>Deltavirus</t>
  </si>
  <si>
    <t>Hepatitis delta virus</t>
  </si>
  <si>
    <t>Furovirus</t>
  </si>
  <si>
    <t>Chinese wheat mosaic virus</t>
  </si>
  <si>
    <t>Oat golden stripe virus</t>
  </si>
  <si>
    <t>Soil-borne cereal mosaic virus</t>
  </si>
  <si>
    <t>Soil-borne wheat mosaic virus</t>
  </si>
  <si>
    <t>Bovine leukemia virus</t>
  </si>
  <si>
    <t>Primate T-lymphotropic virus 1</t>
  </si>
  <si>
    <t>Primate T-lymphotropic virus 2</t>
  </si>
  <si>
    <t>Pea stem necrosis virus</t>
  </si>
  <si>
    <t>Pelargonium flower break virus</t>
  </si>
  <si>
    <t>Saguaro cactus virus</t>
  </si>
  <si>
    <t>Turnip crinkle virus</t>
  </si>
  <si>
    <t>Weddel waterborne virus</t>
  </si>
  <si>
    <t>Dianthovirus</t>
  </si>
  <si>
    <t>Carnation ringspot virus</t>
  </si>
  <si>
    <t>Red clover necrotic mosaic virus</t>
  </si>
  <si>
    <t>Sweet clover necrotic mosaic virus</t>
  </si>
  <si>
    <t>Machlomovirus</t>
  </si>
  <si>
    <t>Maize chlorotic mottle virus</t>
  </si>
  <si>
    <t>Gardner-Arnstein feline sarcoma virus</t>
  </si>
  <si>
    <t>Gibbon ape leukemia virus</t>
  </si>
  <si>
    <t>Guinea pig type-C oncovirus</t>
  </si>
  <si>
    <t>Hardy-Zuckerman feline sarcoma virus</t>
  </si>
  <si>
    <t>Harvey murine sarcoma virus</t>
  </si>
  <si>
    <t>Cotton leaf curl Bangalore virus</t>
  </si>
  <si>
    <t>Arabidopsis thaliana Ta1 virus</t>
  </si>
  <si>
    <t>Brassica oleracea Melmoth virus</t>
  </si>
  <si>
    <t>Cajanus cajan Panzee virus</t>
  </si>
  <si>
    <t>Glycine max Tgmr virus</t>
  </si>
  <si>
    <t>Hordeum vulgare BARE-1 virus</t>
  </si>
  <si>
    <t>Nicotiana tabacum Tnt1 virus</t>
  </si>
  <si>
    <t>Nicotiana tabacum Tto1 virus</t>
  </si>
  <si>
    <t>Percavirus</t>
  </si>
  <si>
    <t>Rhadinovirus</t>
  </si>
  <si>
    <t>Simplexvirus</t>
  </si>
  <si>
    <t>Varicellovirus</t>
  </si>
  <si>
    <t>Rudiviridae</t>
  </si>
  <si>
    <t>Rudivirus</t>
  </si>
  <si>
    <t>Original release</t>
    <phoneticPr fontId="3" type="noConversion"/>
  </si>
  <si>
    <t>Lymphocryptovirus</t>
  </si>
  <si>
    <t>Date</t>
    <phoneticPr fontId="3" type="noConversion"/>
  </si>
  <si>
    <t>Change:</t>
    <phoneticPr fontId="3" type="noConversion"/>
  </si>
  <si>
    <t>St Croix River virus</t>
  </si>
  <si>
    <t>Umatilla virus</t>
  </si>
  <si>
    <t>Wad Medani virus</t>
  </si>
  <si>
    <t>Wallal virus</t>
  </si>
  <si>
    <t>Warrego virus</t>
  </si>
  <si>
    <t>Wongorr virus</t>
  </si>
  <si>
    <t>Yunnan orbivirus</t>
  </si>
  <si>
    <t>Orthoreovirus</t>
  </si>
  <si>
    <t>Avian orthoreovirus</t>
  </si>
  <si>
    <t>Baboon orthoreovirus</t>
  </si>
  <si>
    <t>Mammalian orthoreovirus</t>
  </si>
  <si>
    <t>Nelson Bay orthoreovirus</t>
  </si>
  <si>
    <t>Reptilian orthoreovirus</t>
  </si>
  <si>
    <t>Oryzavirus</t>
  </si>
  <si>
    <t>Echinochloa ragged stunt virus</t>
  </si>
  <si>
    <t>Rio Negro virus</t>
  </si>
  <si>
    <t>Ross River virus</t>
  </si>
  <si>
    <t>Salmon pancreas disease virus</t>
  </si>
  <si>
    <t>Semliki Forest virus</t>
  </si>
  <si>
    <t>Sindbis virus</t>
  </si>
  <si>
    <t>Southern elephant seal virus</t>
  </si>
  <si>
    <t>Macavirus</t>
  </si>
  <si>
    <t>Henipavirus</t>
  </si>
  <si>
    <t>Morbillivirus</t>
  </si>
  <si>
    <t>Cetacean morbillivirus</t>
  </si>
  <si>
    <t>Respirovirus</t>
  </si>
  <si>
    <t>Bermuda grass etched-line virus</t>
  </si>
  <si>
    <t>Citrus sudden death-associated virus</t>
  </si>
  <si>
    <t>Maize rayado fino virus</t>
  </si>
  <si>
    <t>Oat blue dwarf virus</t>
  </si>
  <si>
    <t>Caudovirales</t>
  </si>
  <si>
    <t>Myoviridae</t>
  </si>
  <si>
    <t>Totivirus</t>
  </si>
  <si>
    <t>Saccharomyces cerevisiae virus L-A</t>
  </si>
  <si>
    <t>Ustilago maydis virus H1</t>
  </si>
  <si>
    <t>Tymoviridae</t>
  </si>
  <si>
    <t>Maculavirus</t>
  </si>
  <si>
    <t>Grapevine fleck virus</t>
  </si>
  <si>
    <t>Marafivirus</t>
  </si>
  <si>
    <t>Peduovirinae</t>
  </si>
  <si>
    <t>Spounavirinae</t>
  </si>
  <si>
    <t>Tevenvirinae</t>
  </si>
  <si>
    <t>Scutavirus</t>
  </si>
  <si>
    <t>Bundibugyo ebolavirus</t>
  </si>
  <si>
    <t>Marburg marburgvirus</t>
  </si>
  <si>
    <t>Aquaparamyxovirus</t>
  </si>
  <si>
    <t>Ferlavirus</t>
  </si>
  <si>
    <t>Moussa virus</t>
  </si>
  <si>
    <t>Ictalurivirus</t>
  </si>
  <si>
    <t>Phycodnaviridae</t>
  </si>
  <si>
    <t>Chlorovirus</t>
  </si>
  <si>
    <t>Hydra viridis Chlorella virus 1</t>
  </si>
  <si>
    <t>Paramecium bursaria Chlorella virus 1</t>
  </si>
  <si>
    <t>Paramecium bursaria Chlorella virus A1</t>
  </si>
  <si>
    <t>Paramecium bursaria Chlorella virus AL1A</t>
  </si>
  <si>
    <t>Autographivirinae</t>
  </si>
  <si>
    <t>Pea mild mosaic virus</t>
  </si>
  <si>
    <t>Trichoplusia ni ascovirus 2a</t>
  </si>
  <si>
    <t>Red clover mottle virus</t>
  </si>
  <si>
    <t>Aparavirus</t>
  </si>
  <si>
    <t>Israeli acute paralysis virus</t>
  </si>
  <si>
    <t>Idnoreovirus 1</t>
  </si>
  <si>
    <t>Idnoreovirus 2</t>
  </si>
  <si>
    <t>Idnoreovirus 3</t>
  </si>
  <si>
    <t>Idnoreovirus 4</t>
  </si>
  <si>
    <t>Idnoreovirus 5</t>
  </si>
  <si>
    <t>Severe acute respiratory syndrome-related coronavirus</t>
  </si>
  <si>
    <t>Bovine immunodeficiency virus</t>
  </si>
  <si>
    <t>Bovine foamy virus</t>
  </si>
  <si>
    <t>Equine foamy virus</t>
  </si>
  <si>
    <t>Feline foamy virus</t>
  </si>
  <si>
    <t>African horse sickness virus</t>
  </si>
  <si>
    <t>Bluetongue virus</t>
  </si>
  <si>
    <t>Changuinola virus</t>
  </si>
  <si>
    <t>Chenuda virus</t>
  </si>
  <si>
    <t>Chobar Gorge virus</t>
  </si>
  <si>
    <t>Corriparta virus</t>
  </si>
  <si>
    <t>Ephemerovirus</t>
  </si>
  <si>
    <t>Lyssavirus</t>
  </si>
  <si>
    <t>Australian bat lyssavirus</t>
  </si>
  <si>
    <t>Mardivirus</t>
  </si>
  <si>
    <t>Coronaviridae</t>
  </si>
  <si>
    <t>Human coronavirus 229E</t>
  </si>
  <si>
    <t>Aviadenovirus</t>
  </si>
  <si>
    <t>Cowpea mottle virus</t>
  </si>
  <si>
    <t>Cucumber soil-borne virus</t>
  </si>
  <si>
    <t>Galinsoga mosaic virus</t>
  </si>
  <si>
    <t>Hibiscus chlorotic ringspot virus</t>
  </si>
  <si>
    <t>Epizootic hemorrhagic disease virus</t>
  </si>
  <si>
    <t>Equine encephalosis virus</t>
  </si>
  <si>
    <t>Eubenangee virus</t>
  </si>
  <si>
    <t>Great Island virus</t>
  </si>
  <si>
    <t>Ieri virus</t>
  </si>
  <si>
    <t>Lebombo virus</t>
  </si>
  <si>
    <t>Betaherpesvirinae</t>
  </si>
  <si>
    <t>Human coronavirus HKU1</t>
  </si>
  <si>
    <t>Proboscivirus</t>
  </si>
  <si>
    <t>Roseolovirus</t>
  </si>
  <si>
    <t>Orungo virus</t>
  </si>
  <si>
    <t>Palyam virus</t>
  </si>
  <si>
    <t>Peruvian horse sickness virus</t>
  </si>
  <si>
    <t>Gammaherpesvirinae</t>
  </si>
  <si>
    <t>Bornaviridae</t>
  </si>
  <si>
    <t>Filoviridae</t>
  </si>
  <si>
    <t>Ebolavirus</t>
  </si>
  <si>
    <t>Reston ebolavirus</t>
  </si>
  <si>
    <t>Sudan ebolavirus</t>
  </si>
  <si>
    <t>Zaire ebolavirus</t>
  </si>
  <si>
    <t>Marburgvirus</t>
  </si>
  <si>
    <t>Paramyxoviridae</t>
  </si>
  <si>
    <t>Sesbania mosaic virus</t>
  </si>
  <si>
    <t>Solanum nodiflorum mottle virus</t>
  </si>
  <si>
    <t>Southern bean mosaic virus</t>
  </si>
  <si>
    <t>Southern cowpea mosaic virus</t>
  </si>
  <si>
    <t>Olive latent ringspot virus</t>
  </si>
  <si>
    <t>Peach rosette mosaic virus</t>
  </si>
  <si>
    <t>Potato black ringspot virus</t>
  </si>
  <si>
    <t>Potato virus U</t>
  </si>
  <si>
    <t>Raspberry ringspot virus</t>
  </si>
  <si>
    <t>Iridoviridae</t>
  </si>
  <si>
    <t>Chloriridovirus</t>
  </si>
  <si>
    <t>Invertebrate iridescent virus 3</t>
  </si>
  <si>
    <t>Tobacco ringspot virus</t>
  </si>
  <si>
    <t>Tomato black ring virus</t>
  </si>
  <si>
    <t>Tomato ringspot virus</t>
  </si>
  <si>
    <t>Snyder-Theilen feline sarcoma virus</t>
  </si>
  <si>
    <t>Trager duck spleen necrosis virus</t>
  </si>
  <si>
    <t>Viper retrovirus</t>
  </si>
  <si>
    <t>Woolly monkey sarcoma virus</t>
  </si>
  <si>
    <t>Lentivirus</t>
  </si>
  <si>
    <t>Himetobi P virus</t>
  </si>
  <si>
    <t>Avian metapneumovirus</t>
  </si>
  <si>
    <t>Human metapneumovirus</t>
  </si>
  <si>
    <t>Nucleorhabdovirus</t>
  </si>
  <si>
    <t>Rhabdoviridae</t>
  </si>
  <si>
    <t>Cytorhabdovirus</t>
  </si>
  <si>
    <t>Vesiculovirus</t>
  </si>
  <si>
    <t>Nidovirales</t>
  </si>
  <si>
    <t>Arteriviridae</t>
  </si>
  <si>
    <t>Mastadenovirus</t>
  </si>
  <si>
    <t>Pepino mosaic virus</t>
  </si>
  <si>
    <t>Plantago asiatica mosaic virus</t>
  </si>
  <si>
    <t>Plantain virus X</t>
  </si>
  <si>
    <t>Potato aucuba mosaic virus</t>
  </si>
  <si>
    <t>Potato virus X</t>
  </si>
  <si>
    <t>Schlumbergera virus X</t>
  </si>
  <si>
    <t>Pepper leaf curl Bangladesh virus</t>
  </si>
  <si>
    <t>Hosta virus X</t>
  </si>
  <si>
    <t>Hydrangea ringspot virus</t>
  </si>
  <si>
    <t>Tulip virus X</t>
  </si>
  <si>
    <t>White clover mosaic virus</t>
  </si>
  <si>
    <t>Zygocactus virus X</t>
  </si>
  <si>
    <t>Strawberry mild yellow edge virus</t>
  </si>
  <si>
    <t>Tamus red mosaic virus</t>
  </si>
  <si>
    <t>Apple chlorotic leaf spot virus</t>
  </si>
  <si>
    <t>Desmodium yellow mottle virus</t>
  </si>
  <si>
    <t>Dulcamara mottle virus</t>
  </si>
  <si>
    <t>Eggplant mosaic virus</t>
  </si>
  <si>
    <t>Erysimum latent virus</t>
  </si>
  <si>
    <t>Guttaviridae</t>
  </si>
  <si>
    <t>Ranunculus mild mosaic virus</t>
  </si>
  <si>
    <t>Ranunculus mosaic virus</t>
  </si>
  <si>
    <t>Okra mosaic virus</t>
  </si>
  <si>
    <t>Ononis yellow mosaic virus</t>
  </si>
  <si>
    <t>Sorghum mosaic virus</t>
  </si>
  <si>
    <t>Soybean mosaic virus</t>
  </si>
  <si>
    <t>Sugarcane mosaic virus</t>
  </si>
  <si>
    <t>Sunflower mosaic virus</t>
  </si>
  <si>
    <t>Sweet potato feathery mottle virus</t>
  </si>
  <si>
    <t>Sweet potato latent virus</t>
  </si>
  <si>
    <t>Torque teno virus 29</t>
  </si>
  <si>
    <t>Pepper yellow leaf curl Indonesia virus</t>
  </si>
  <si>
    <t>Pepper yellow vein Mali virus</t>
  </si>
  <si>
    <t>Potato yellow mosaic Panama virus</t>
  </si>
  <si>
    <t>Potato yellow mosaic virus</t>
  </si>
  <si>
    <t>Pumpkin yellow mosaic virus</t>
  </si>
  <si>
    <t>Radish leaf curl virus</t>
  </si>
  <si>
    <t>Tymovirus</t>
  </si>
  <si>
    <t>Anagyris vein yellowing virus</t>
  </si>
  <si>
    <t>Andean potato latent virus</t>
  </si>
  <si>
    <t>Belladonna mottle virus</t>
  </si>
  <si>
    <t>Cacao yellow mosaic virus</t>
  </si>
  <si>
    <t>Calopogonium yellow vein virus</t>
  </si>
  <si>
    <t>Chayote mosaic virus</t>
  </si>
  <si>
    <t>Clitoria yellow vein virus</t>
  </si>
  <si>
    <t>Chloris striate mosaic virus</t>
  </si>
  <si>
    <t>Digitaria streak virus</t>
  </si>
  <si>
    <t>Maize streak virus</t>
  </si>
  <si>
    <t>Wild potato mosaic virus</t>
  </si>
  <si>
    <t>Wisteria vein mosaic virus</t>
  </si>
  <si>
    <t>Yam mild mosaic virus</t>
  </si>
  <si>
    <t>Yam mosaic virus</t>
  </si>
  <si>
    <t>Zantedeschia mild mosaic virus</t>
  </si>
  <si>
    <t>Zea mosaic virus</t>
  </si>
  <si>
    <t>Ranid herpesvirus 2</t>
  </si>
  <si>
    <t>Cyprinivirus</t>
  </si>
  <si>
    <t>Cyprinid herpesvirus 1</t>
  </si>
  <si>
    <t>Cyprinid herpesvirus 2</t>
  </si>
  <si>
    <t>Salmonivirus</t>
  </si>
  <si>
    <t>Croton yellow vein mosaic virus</t>
  </si>
  <si>
    <t>Desmodium leaf distortion virus</t>
  </si>
  <si>
    <t>Dicliptera yellow mottle Cuba virus</t>
  </si>
  <si>
    <t>Dicliptera yellow mottle virus</t>
  </si>
  <si>
    <t>Dolichos yellow mosaic virus</t>
  </si>
  <si>
    <t>Garlic virus A</t>
  </si>
  <si>
    <t>Garlic virus B</t>
  </si>
  <si>
    <t>Garlic virus C</t>
  </si>
  <si>
    <t>Salmonid herpesvirus 3</t>
  </si>
  <si>
    <t>Parsnip yellow fleck virus</t>
  </si>
  <si>
    <t>Rice tungro spherical virus</t>
  </si>
  <si>
    <t>Sclerotinia sclerotiorum debilitation-associated RNA virus</t>
  </si>
  <si>
    <t>African oil palm ringspot virus</t>
  </si>
  <si>
    <t>Sugarcane striate mosaic-associated virus</t>
  </si>
  <si>
    <t>Rosellinia necatrix virus 1</t>
  </si>
  <si>
    <t>Helminthosporium victoriae virus 190S</t>
  </si>
  <si>
    <t>Varicosavirus</t>
  </si>
  <si>
    <t>Acipenserid herpesvirus 2</t>
  </si>
  <si>
    <t>Oat sterile dwarf virus</t>
  </si>
  <si>
    <t>Pangola stunt virus</t>
  </si>
  <si>
    <t>Chironomus plumosus entomopoxvirus</t>
  </si>
  <si>
    <t>Aedes aegypti Mosqcopia virus</t>
  </si>
  <si>
    <t>Candida albicans Tca2 virus</t>
  </si>
  <si>
    <t>Rehmannia mosaic virus</t>
  </si>
  <si>
    <t>Brugmansia mild mottle virus</t>
  </si>
  <si>
    <t>Streptocarpus flower break virus</t>
  </si>
  <si>
    <t>Grapevine virus E</t>
  </si>
  <si>
    <t>Tomato leaf curl Guangdong virus</t>
  </si>
  <si>
    <t>Tomato leaf curl Kerala virus</t>
  </si>
  <si>
    <t>Tomato leaf curl Laos virus</t>
  </si>
  <si>
    <t>Tomato leaf curl Madagascar virus</t>
  </si>
  <si>
    <t>Tomato leaf curl Malaysia virus</t>
  </si>
  <si>
    <t>Tomato leaf curl Mali virus</t>
  </si>
  <si>
    <t>Tomato leaf curl New Delhi virus</t>
  </si>
  <si>
    <t>Tomato leaf curl Philippines virus</t>
  </si>
  <si>
    <t>Tomato leaf curl Pune virus</t>
  </si>
  <si>
    <t>Tomato leaf curl Seychelles virus</t>
  </si>
  <si>
    <t>Tomato leaf curl Sinaloa virus</t>
  </si>
  <si>
    <t>Tomato leaf curl Sri Lanka virus</t>
  </si>
  <si>
    <t>Tomato leaf curl Sudan virus</t>
  </si>
  <si>
    <t>Tomato leaf curl Taiwan virus</t>
  </si>
  <si>
    <t>Tomato leaf curl Uganda virus</t>
  </si>
  <si>
    <t>Tomato leaf curl Vietnam virus</t>
  </si>
  <si>
    <t>Tomato leaf curl virus</t>
  </si>
  <si>
    <t>Tomato mild yellow leaf curl Aragua virus</t>
  </si>
  <si>
    <t>Tomato mosaic Havana virus</t>
  </si>
  <si>
    <t>Gammaentomopoxvirus</t>
  </si>
  <si>
    <t>Aedes aegypti entomopoxvirus</t>
  </si>
  <si>
    <t>Oat mosaic virus</t>
  </si>
  <si>
    <t>Rymovirus</t>
  </si>
  <si>
    <t>Agropyron mosaic virus</t>
  </si>
  <si>
    <t>Hordeum mosaic virus</t>
  </si>
  <si>
    <t>Ryegrass mosaic virus</t>
  </si>
  <si>
    <t>Tritimovirus</t>
  </si>
  <si>
    <t>Brome streak mosaic virus</t>
  </si>
  <si>
    <t>Oat necrotic mottle virus</t>
  </si>
  <si>
    <t>Wheat streak mosaic virus</t>
  </si>
  <si>
    <t>Candida albicans Tca5 virus</t>
  </si>
  <si>
    <t>Drosophila melanogaster 1731 virus</t>
  </si>
  <si>
    <t>Tomato infectious chlorosis virus</t>
  </si>
  <si>
    <t>Mint vein banding-associated virus</t>
  </si>
  <si>
    <t>Torque teno mini virus 7</t>
  </si>
  <si>
    <t>Torque teno mini virus 8</t>
  </si>
  <si>
    <t>Torque teno mini virus 9</t>
  </si>
  <si>
    <t>Goatpox virus</t>
  </si>
  <si>
    <t>Lumpy skin disease virus</t>
  </si>
  <si>
    <t>Sheeppox virus</t>
  </si>
  <si>
    <t>Cervidpoxvirus</t>
  </si>
  <si>
    <t>Torque teno tupaia virus</t>
  </si>
  <si>
    <t>Philosamia cynthia x ricini virus</t>
  </si>
  <si>
    <t>Providence virus</t>
  </si>
  <si>
    <t>Torque teno felis virus</t>
  </si>
  <si>
    <t>Torque teno canis virus</t>
  </si>
  <si>
    <t>Calanthe mild mosaic virus</t>
  </si>
  <si>
    <t>Carnation vein mottle virus</t>
  </si>
  <si>
    <t>Carrot thin leaf virus</t>
  </si>
  <si>
    <t>Carrot virus Y</t>
  </si>
  <si>
    <t>Celery mosaic virus</t>
  </si>
  <si>
    <t>Ceratobium mosaic virus</t>
  </si>
  <si>
    <t>Chilli veinal mottle virus</t>
  </si>
  <si>
    <t>Chinese artichoke mosaic virus</t>
  </si>
  <si>
    <t>Clitoria virus Y</t>
  </si>
  <si>
    <t>Clover yellow vein virus</t>
  </si>
  <si>
    <t>Pokeweed mosaic virus</t>
  </si>
  <si>
    <t>Potato virus A</t>
  </si>
  <si>
    <t>Sulfolobus islandicus rod-shaped virus 2</t>
  </si>
  <si>
    <t>Tectiviridae</t>
  </si>
  <si>
    <t>Tomato leaf curl Bangalore virus</t>
  </si>
  <si>
    <t>Tomato leaf curl Bangladesh virus</t>
  </si>
  <si>
    <t>Cypovirus 13</t>
  </si>
  <si>
    <t>Cypovirus 14</t>
  </si>
  <si>
    <t>Cypovirus 15</t>
  </si>
  <si>
    <t>Cypovirus 16</t>
  </si>
  <si>
    <t>Cypovirus 2</t>
  </si>
  <si>
    <t>Zucchini yellow fleck virus</t>
  </si>
  <si>
    <t>Zucchini yellow mosaic virus</t>
  </si>
  <si>
    <t>Cypovirus 1</t>
  </si>
  <si>
    <t>Cypovirus 8</t>
  </si>
  <si>
    <t>Cypovirus 9</t>
  </si>
  <si>
    <t>Dinovernavirus</t>
  </si>
  <si>
    <t>Giardia lamblia virus</t>
  </si>
  <si>
    <t>Leishmaniavirus</t>
  </si>
  <si>
    <t>Atkinsonella hypoxylon virus</t>
  </si>
  <si>
    <t>Discula destructiva virus 1</t>
  </si>
  <si>
    <t>Maize rough dwarf virus</t>
  </si>
  <si>
    <t>Mal de Rio Cuarto virus</t>
  </si>
  <si>
    <t>Nilaparvata lugens reovirus</t>
  </si>
  <si>
    <t>Rice black streaked dwarf virus</t>
  </si>
  <si>
    <t>Idnoreovirus</t>
  </si>
  <si>
    <t>Tobacco leaf curl Cuba virus</t>
  </si>
  <si>
    <t>Tobacco leaf curl Yunnan virus</t>
  </si>
  <si>
    <t>Tobacco leaf curl Zimbabwe virus</t>
  </si>
  <si>
    <t>Faba bean necrotic yellows virus</t>
  </si>
  <si>
    <t>Garlic common latent virus</t>
  </si>
  <si>
    <t>Helenium virus S</t>
  </si>
  <si>
    <t>Hop latent virus</t>
  </si>
  <si>
    <t>Hop mosaic virus</t>
  </si>
  <si>
    <t>Parvovirinae</t>
  </si>
  <si>
    <t>Redspotted grouper nervous necrosis virus</t>
  </si>
  <si>
    <t>Striped jack nervous necrosis virus</t>
  </si>
  <si>
    <t>Tiger puffer nervous necrosis virus</t>
  </si>
  <si>
    <t>Ophiovirus</t>
  </si>
  <si>
    <t>Orthomyxoviridae</t>
  </si>
  <si>
    <t>Levivirus</t>
  </si>
  <si>
    <t>Lipothrixviridae</t>
  </si>
  <si>
    <t>Thermoproteus tenax virus 1</t>
  </si>
  <si>
    <t>Betalipothrixvirus</t>
  </si>
  <si>
    <t>Sulfolobus islandicus filamentous virus</t>
  </si>
  <si>
    <t>Bean leafroll virus</t>
  </si>
  <si>
    <t>Lettuce speckles mottle virus</t>
  </si>
  <si>
    <t>Polerovirus</t>
  </si>
  <si>
    <t>Beet chlorosis virus</t>
  </si>
  <si>
    <t>Beet western yellows virus</t>
  </si>
  <si>
    <t>Carrot red leaf virus</t>
  </si>
  <si>
    <t>Cucurbit aphid-borne yellows virus</t>
  </si>
  <si>
    <t>Potato leafroll virus</t>
  </si>
  <si>
    <t>Sugarcane yellow leaf virus</t>
  </si>
  <si>
    <t>Turnip yellows virus</t>
  </si>
  <si>
    <t>Endornaviridae</t>
  </si>
  <si>
    <t>Tobacco vein distorting virus</t>
  </si>
  <si>
    <t>Metaviridae</t>
  </si>
  <si>
    <t>Vitivirus</t>
  </si>
  <si>
    <t>Grapevine virus A</t>
  </si>
  <si>
    <t>Cacipacore virus</t>
  </si>
  <si>
    <t>Carey Island virus</t>
  </si>
  <si>
    <t>Cowbone Ridge virus</t>
  </si>
  <si>
    <t>Dakar bat virus</t>
  </si>
  <si>
    <t>Dengue virus</t>
  </si>
  <si>
    <t>Edge Hill virus</t>
  </si>
  <si>
    <t>Entebbe bat virus</t>
  </si>
  <si>
    <t>Gadgets Gully virus</t>
  </si>
  <si>
    <t>Ilheus virus</t>
  </si>
  <si>
    <t>Israel turkey meningoencephalomyelitis virus</t>
  </si>
  <si>
    <t>Japanese encephalitis virus</t>
  </si>
  <si>
    <t>Jugra virus</t>
  </si>
  <si>
    <t>Jutiapa virus</t>
  </si>
  <si>
    <t>Kadam virus</t>
  </si>
  <si>
    <t>Kedougou virus</t>
  </si>
  <si>
    <t>Kokobera virus</t>
  </si>
  <si>
    <t>Koutango virus</t>
  </si>
  <si>
    <t>Kyasanur Forest disease virus</t>
  </si>
  <si>
    <t>Langat virus</t>
  </si>
  <si>
    <t>Louping ill virus</t>
  </si>
  <si>
    <t>Meaban virus</t>
  </si>
  <si>
    <t>Modoc virus</t>
  </si>
  <si>
    <t>Xipapillomavirus</t>
  </si>
  <si>
    <t>Zetapapillomavirus</t>
  </si>
  <si>
    <t>Partitiviridae</t>
  </si>
  <si>
    <t>Schizosaccharomyces pombe Tf2 virus</t>
  </si>
  <si>
    <t>Takifugu rubripes Sushi virus</t>
  </si>
  <si>
    <t>Tribolium castaneum Woot virus</t>
  </si>
  <si>
    <t>Tripneustis gratilla SURL virus</t>
  </si>
  <si>
    <t>Drosophila virilis Ulysses virus</t>
  </si>
  <si>
    <t>Fusarium oxysporum Skippy virus</t>
  </si>
  <si>
    <t>Lilium henryi Del1 virus</t>
  </si>
  <si>
    <t>Saccharomyces cerevisiae Ty3 virus</t>
  </si>
  <si>
    <t>Schizosaccharomyces pombe Tf1 virus</t>
  </si>
  <si>
    <t>Cryphonectria hypovirus 4</t>
  </si>
  <si>
    <t>Inoviridae</t>
  </si>
  <si>
    <t>Inovirus</t>
  </si>
  <si>
    <t>Drosophila simulans Ninja virus</t>
  </si>
  <si>
    <t>Microviridae</t>
  </si>
  <si>
    <t>Oryza australiensis RIRE1 virus</t>
  </si>
  <si>
    <t>Oryza longistaminata Retrofit virus</t>
  </si>
  <si>
    <t>Physarum polycephalum Tp1 virus</t>
  </si>
  <si>
    <t>Saccharomyces cerevisiae Ty1 virus</t>
  </si>
  <si>
    <t>Saccharomyces cerevisiae Ty2 virus</t>
  </si>
  <si>
    <t>Gammaflexiviridae</t>
  </si>
  <si>
    <t>Sclerodarnavirus</t>
  </si>
  <si>
    <t>Honeysuckle yellow vein virus</t>
  </si>
  <si>
    <t>Epsilontorquevirus</t>
  </si>
  <si>
    <t>Zetatorquevirus</t>
  </si>
  <si>
    <t>Etatorquevirus</t>
  </si>
  <si>
    <t>Thetatorquevirus</t>
  </si>
  <si>
    <t>Iotatorquevirus</t>
  </si>
  <si>
    <t>Torque teno virus 1</t>
  </si>
  <si>
    <t>Torque teno virus 2</t>
  </si>
  <si>
    <t>Torque teno virus 3</t>
  </si>
  <si>
    <t>Tobacco mild green mosaic virus</t>
  </si>
  <si>
    <t>Tobacco mosaic virus</t>
  </si>
  <si>
    <t>Tomato mosaic virus</t>
  </si>
  <si>
    <t>Turnip vein-clearing virus</t>
  </si>
  <si>
    <t>Ullucus mild mottle virus</t>
  </si>
  <si>
    <t>Wasabi mottle virus</t>
  </si>
  <si>
    <t>Youcai mosaic virus</t>
  </si>
  <si>
    <t>Zucchini green mottle mosaic virus</t>
  </si>
  <si>
    <t>Tobravirus</t>
  </si>
  <si>
    <t>Pea early-browning virus</t>
  </si>
  <si>
    <t>Pepper ringspot virus</t>
  </si>
  <si>
    <t>Tobacco rattle virus</t>
  </si>
  <si>
    <t>Umbravirus</t>
  </si>
  <si>
    <t>Carrot mottle mimic virus</t>
  </si>
  <si>
    <t>Malvastrum yellow vein virus</t>
  </si>
  <si>
    <t>Malvastrum yellow vein Yunnan virus</t>
  </si>
  <si>
    <t>Melon chlorotic leaf curl virus</t>
  </si>
  <si>
    <t>Mesta yellow vein mosaic virus</t>
  </si>
  <si>
    <t>Macroptilium mosaic Puerto Rico virus</t>
  </si>
  <si>
    <t>Macroptilium yellow mosaic Florida virus</t>
  </si>
  <si>
    <t>Macroptilium yellow mosaic virus</t>
  </si>
  <si>
    <t>Malvastrum leaf curl virus</t>
  </si>
  <si>
    <t>Malvastrum yellow mosaic virus</t>
  </si>
  <si>
    <t>Sweet potato collusive virus</t>
  </si>
  <si>
    <t>Cucurbit leaf crumple virus</t>
  </si>
  <si>
    <t>Peach latent mosaic viroid</t>
  </si>
  <si>
    <t>Baculoviridae</t>
  </si>
  <si>
    <t>Alphabaculovirus</t>
  </si>
  <si>
    <t>Cherry leaf roll virus</t>
  </si>
  <si>
    <t>Chicory yellow mottle virus</t>
  </si>
  <si>
    <t>Cocoa necrosis virus</t>
  </si>
  <si>
    <t>Crimson clover latent virus</t>
  </si>
  <si>
    <t>Cycas necrotic stunt virus</t>
  </si>
  <si>
    <t>Grapevine Anatolian ringspot virus</t>
  </si>
  <si>
    <t>Grapevine Bulgarian latent virus</t>
  </si>
  <si>
    <t>Grapevine chrome mosaic virus</t>
  </si>
  <si>
    <t>Grapevine deformation virus</t>
  </si>
  <si>
    <t>Grapevine fanleaf virus</t>
  </si>
  <si>
    <t>Grapevine Tunisian ringspot virus</t>
  </si>
  <si>
    <t>Hibiscus latent ringspot virus</t>
  </si>
  <si>
    <t>Lucerne Australian latent virus</t>
  </si>
  <si>
    <t>Mulberry ringspot virus</t>
  </si>
  <si>
    <t>Myrobalan latent ringspot virus</t>
  </si>
  <si>
    <t>Anticarsia gemmatalis multiple nucleopolyhedrovirus</t>
  </si>
  <si>
    <t>Cotesia glomerata bracovirus</t>
  </si>
  <si>
    <t>Cotesia hyphantriae bracovirus</t>
  </si>
  <si>
    <t>Cotesia kariyai bracovirus</t>
  </si>
  <si>
    <t>Choristoneura fumiferana multiple nucleopolyhedrovirus</t>
  </si>
  <si>
    <t>Chelonus texanus bracovirus</t>
  </si>
  <si>
    <t>Choristoneura rosaceana nucleopolyhedrovirus</t>
  </si>
  <si>
    <t>Ectropis obliqua nucleopolyhedrovirus</t>
  </si>
  <si>
    <t>Epiphyas postvittana nucleopolyhedrovirus</t>
  </si>
  <si>
    <t>Helicoverpa armigera nucleopolyhedrovirus</t>
  </si>
  <si>
    <t>Lymantria dispar multiple nucleopolyhedrovirus</t>
  </si>
  <si>
    <t>Foot-and-mouth disease virus</t>
  </si>
  <si>
    <t>Cardiovirus</t>
  </si>
  <si>
    <t>Protapanteles paleacritae bracovirus</t>
  </si>
  <si>
    <t>Lacanobia oleracea granulovirus</t>
  </si>
  <si>
    <t>Phthorimaea operculella granulovirus</t>
  </si>
  <si>
    <t>Solanum tuberosum Tst1 virus</t>
  </si>
  <si>
    <t>Zea mays Hopscotch virus</t>
  </si>
  <si>
    <t>Trichoplusia ni granulovirus</t>
  </si>
  <si>
    <t>Xestia c-nigrum granulovirus</t>
  </si>
  <si>
    <t>Deltabaculovirus</t>
  </si>
  <si>
    <t>Phaseolus vulgaris Tpv2-6 virus</t>
  </si>
  <si>
    <t>Reoviridae</t>
  </si>
  <si>
    <t>Neodiprion sertifer nucleopolyhedrovirus</t>
  </si>
  <si>
    <t>Barnaviridae</t>
  </si>
  <si>
    <t>Barnavirus</t>
  </si>
  <si>
    <t>Mushroom bacilliform virus</t>
  </si>
  <si>
    <t>Birnaviridae</t>
  </si>
  <si>
    <t>Aquabirnavirus</t>
  </si>
  <si>
    <t>Infectious pancreatic necrosis virus</t>
  </si>
  <si>
    <t>Tellina virus</t>
  </si>
  <si>
    <t>Yellowtail ascites virus</t>
  </si>
  <si>
    <t>Avibirnavirus</t>
  </si>
  <si>
    <t>Figwort mosaic virus</t>
  </si>
  <si>
    <t>Horseradish latent virus</t>
  </si>
  <si>
    <t>Sadwavirus</t>
  </si>
  <si>
    <t>Satsuma dwarf virus</t>
  </si>
  <si>
    <t>Strawberry latent ringspot virus</t>
  </si>
  <si>
    <t>Strawberry mottle virus</t>
  </si>
  <si>
    <t>Adenoviridae</t>
  </si>
  <si>
    <t>Atadenovirus</t>
  </si>
  <si>
    <t>Infectious bursal disease virus</t>
  </si>
  <si>
    <t>Blosnavirus</t>
  </si>
  <si>
    <t>Blotched snakehead virus</t>
  </si>
  <si>
    <t>Entomobirnavirus</t>
  </si>
  <si>
    <t>Drosophila X virus</t>
  </si>
  <si>
    <t>Bromoviridae</t>
  </si>
  <si>
    <t>Acidianus filamentous virus 9</t>
  </si>
  <si>
    <t>Acidianus filamentous virus 8</t>
  </si>
  <si>
    <t>Cowpea chlorotic mottle virus</t>
  </si>
  <si>
    <t>Melandrium yellow fleck virus</t>
  </si>
  <si>
    <t>Beak and feather disease virus</t>
  </si>
  <si>
    <t>Canary circovirus</t>
  </si>
  <si>
    <t>Peanut stunt virus</t>
  </si>
  <si>
    <t>Tomato aspermy virus</t>
  </si>
  <si>
    <t>Ilarvirus</t>
  </si>
  <si>
    <t>American plum line pattern virus</t>
  </si>
  <si>
    <t>Apple mosaic virus</t>
  </si>
  <si>
    <t>Asparagus virus 2</t>
  </si>
  <si>
    <t>Blueberry shock virus</t>
  </si>
  <si>
    <t>Citrus leaf rugose virus</t>
  </si>
  <si>
    <t>Ascoviridae</t>
  </si>
  <si>
    <t>Ascovirus</t>
  </si>
  <si>
    <t>Alphaentomopoxvirus</t>
  </si>
  <si>
    <t>Dermolepida albohirtum entomopoxvirus</t>
  </si>
  <si>
    <t>Geotrupes sylvaticus entomopoxvirus</t>
  </si>
  <si>
    <t>Venezuelan equine encephalitis virus</t>
  </si>
  <si>
    <t>Western equine encephalitis virus</t>
  </si>
  <si>
    <t>Whataroa virus</t>
  </si>
  <si>
    <t>Rubivirus</t>
  </si>
  <si>
    <t>Rubella virus</t>
  </si>
  <si>
    <t>Fujinami sarcoma virus</t>
  </si>
  <si>
    <t>Rous sarcoma virus</t>
  </si>
  <si>
    <t>Tomato chino La Paz virus</t>
  </si>
  <si>
    <t>Tomato chlorotic mottle virus</t>
  </si>
  <si>
    <t>Tomato curly stunt virus</t>
  </si>
  <si>
    <t>Tomato golden mosaic virus</t>
  </si>
  <si>
    <t>Tomato golden mottle virus</t>
  </si>
  <si>
    <t>Tomato leaf curl Arusha virus</t>
  </si>
  <si>
    <t>Pineapple mealybug wilt-associated virus 3</t>
  </si>
  <si>
    <t>Camptochironomus tentans entomopoxvirus</t>
  </si>
  <si>
    <t>Cypovirus 10</t>
  </si>
  <si>
    <t>Cypovirus 11</t>
  </si>
  <si>
    <t>Cypovirus 12</t>
  </si>
  <si>
    <t>Salmonid herpesvirus 1</t>
  </si>
  <si>
    <t>Aedes pseudoscutellaris reovirus</t>
  </si>
  <si>
    <t>Fijivirus</t>
  </si>
  <si>
    <t>Fiji disease virus</t>
  </si>
  <si>
    <t>Garlic dwarf virus</t>
  </si>
  <si>
    <t>Ictalurid herpesvirus 2</t>
  </si>
  <si>
    <t>Tomato yellow leaf curl virus</t>
  </si>
  <si>
    <t>Family</t>
  </si>
  <si>
    <t>Subfamily</t>
  </si>
  <si>
    <t>Genus</t>
  </si>
  <si>
    <t>Species</t>
  </si>
  <si>
    <t>Rhynchosia golden mosaic Sinaloa virus</t>
  </si>
  <si>
    <t>Rhynchosia golden mosaic virus</t>
  </si>
  <si>
    <t>Swan circovirus</t>
  </si>
  <si>
    <t>Nebovirus</t>
  </si>
  <si>
    <t>Alphacoronavirus</t>
  </si>
  <si>
    <t>Alphacoronavirus 1</t>
  </si>
  <si>
    <t>Tomato leaf curl Comoros virus</t>
  </si>
  <si>
    <t>Sida yellow mosaic Yucatan virus</t>
  </si>
  <si>
    <t>Sida yellow vein Vietnam virus</t>
  </si>
  <si>
    <t>Sida yellow vein virus</t>
  </si>
  <si>
    <t>Siegesbeckia yellow vein Guangxi virus</t>
  </si>
  <si>
    <t>Siegesbeckia yellow vein virus</t>
  </si>
  <si>
    <t>Torque teno mini virus 2</t>
  </si>
  <si>
    <t>Torque teno mini virus 3</t>
  </si>
  <si>
    <t>Torque teno mini virus 4</t>
  </si>
  <si>
    <t>Paramecium bursaria Chlorella virus NE8A</t>
  </si>
  <si>
    <t>Paramecium bursaria Chlorella virus NY2A</t>
  </si>
  <si>
    <t>Paramecium bursaria Chlorella virus NYs1</t>
  </si>
  <si>
    <t>Dasychira pudibunda virus</t>
  </si>
  <si>
    <t>Euprosterna elaeasa virus</t>
  </si>
  <si>
    <t>Nudaurelia capensis beta virus</t>
  </si>
  <si>
    <t>Paramecium bursaria Chlorella virus XZ3A</t>
  </si>
  <si>
    <t>Pseudoplusia includens virus</t>
  </si>
  <si>
    <t>Thosea asigna virus</t>
  </si>
  <si>
    <t>Trichoplusia ni virus</t>
  </si>
  <si>
    <t>Tomato mottle Taino virus</t>
  </si>
  <si>
    <t>Tomato mottle virus</t>
  </si>
  <si>
    <t>Tomato rugose mosaic virus</t>
  </si>
  <si>
    <t>Tomato severe leaf curl virus</t>
  </si>
  <si>
    <t>Tomato severe rugose virus</t>
  </si>
  <si>
    <t>Tomato yellow leaf curl Axarquia virus</t>
  </si>
  <si>
    <t>Tomato yellow leaf curl China virus</t>
  </si>
  <si>
    <t>Tomato yellow leaf curl Guangdong virus</t>
  </si>
  <si>
    <t>Tomato yellow leaf curl Malaga virus</t>
  </si>
  <si>
    <t>Torque teno mini virus 1</t>
  </si>
  <si>
    <t>Drosophila melanogaster copia virus</t>
  </si>
  <si>
    <t>Saccharomyces cerevisiae Ty5 virus</t>
  </si>
  <si>
    <t>Torque teno mini virus 5</t>
  </si>
  <si>
    <t>Torque teno mini virus 6</t>
  </si>
  <si>
    <t>Betatetravirus</t>
  </si>
  <si>
    <t>Antheraea eucalypti virus</t>
  </si>
  <si>
    <t>Darna trima virus</t>
  </si>
  <si>
    <t>Torque teno midi virus 1</t>
  </si>
  <si>
    <t>Torque teno midi virus 2</t>
  </si>
  <si>
    <t>Deltapapillomavirus</t>
  </si>
  <si>
    <t>Helleborus net necrosis virus</t>
  </si>
  <si>
    <t>Waikavirus</t>
  </si>
  <si>
    <t>Comovirus</t>
  </si>
  <si>
    <t>Fabavirus</t>
  </si>
  <si>
    <t>Nepovirus</t>
  </si>
  <si>
    <t>Comovirinae</t>
  </si>
  <si>
    <t>Spiranthes mosaic virus 3</t>
  </si>
  <si>
    <t>Maize white line mosaic virus</t>
  </si>
  <si>
    <t>Volvox carteri Osser virus</t>
  </si>
  <si>
    <t>Pseudovirus</t>
  </si>
  <si>
    <t>Acidianus rod-shaped virus 1</t>
  </si>
  <si>
    <t>Sulfolobus islandicus rod-shaped virus 1</t>
  </si>
  <si>
    <t>Tobacco necrosis virus D</t>
  </si>
  <si>
    <t>Panicovirus</t>
  </si>
  <si>
    <t>Panicum mosaic virus</t>
  </si>
  <si>
    <t>Tombusvirus</t>
  </si>
  <si>
    <t>Artichoke mottled crinkle virus</t>
  </si>
  <si>
    <t>Carnation Italian ringspot virus</t>
  </si>
  <si>
    <t>Cucumber necrosis virus</t>
  </si>
  <si>
    <t>Cymbidium ringspot virus</t>
  </si>
  <si>
    <t>Eggplant mottled crinkle virus</t>
  </si>
  <si>
    <t>Sitke waterborne virus</t>
  </si>
  <si>
    <t>Cypovirus 3</t>
  </si>
  <si>
    <t>Cypovirus 4</t>
  </si>
  <si>
    <t>Cypovirus 5</t>
  </si>
  <si>
    <t>Cypovirus 6</t>
  </si>
  <si>
    <t>Cypovirus 7</t>
  </si>
  <si>
    <t>Tomato bushy stunt virus</t>
  </si>
  <si>
    <t>Totiviridae</t>
  </si>
  <si>
    <t>Giardiavirus</t>
  </si>
  <si>
    <t>Hypomicrogaster canadensis bracovirus</t>
  </si>
  <si>
    <t>Hypomicrogaster ectdytolophae bracovirus</t>
  </si>
  <si>
    <t>Microplitis croceipes bracovirus</t>
  </si>
  <si>
    <t>Discula destructiva virus 2</t>
  </si>
  <si>
    <t>Fusarium poae virus 1</t>
  </si>
  <si>
    <t>Fusarium solani virus 1</t>
  </si>
  <si>
    <t>Parvoviridae</t>
  </si>
  <si>
    <t>Densovirinae</t>
  </si>
  <si>
    <t>Brevidensovirus</t>
  </si>
  <si>
    <t>Mimoreovirus</t>
  </si>
  <si>
    <t>Micromonas pusilla reovirus</t>
  </si>
  <si>
    <t>Mycoreovirus</t>
  </si>
  <si>
    <t>Mycoreovirus 1</t>
  </si>
  <si>
    <t>Mycoreovirus 2</t>
  </si>
  <si>
    <t>Mycoreovirus 3</t>
  </si>
  <si>
    <t>Orbivirus</t>
  </si>
  <si>
    <t>Molluscum contagiosum virus</t>
  </si>
  <si>
    <t>Tomato leaf curl China virus</t>
  </si>
  <si>
    <t>Grapevine Algerian latent virus</t>
  </si>
  <si>
    <t>Havel River virus</t>
  </si>
  <si>
    <t>Lato River virus</t>
  </si>
  <si>
    <t>Limonium flower distortion virus</t>
  </si>
  <si>
    <t>Moroccan pepper virus</t>
  </si>
  <si>
    <t>Neckar River virus</t>
  </si>
  <si>
    <t>Pelargonium leaf curl virus</t>
  </si>
  <si>
    <t>Pelargonium necrotic spot virus</t>
  </si>
  <si>
    <t>Tomato yellow leaf curl Mali virus</t>
  </si>
  <si>
    <t>Commelina yellow mottle virus</t>
  </si>
  <si>
    <t>Carnation etched ring virus</t>
  </si>
  <si>
    <t>Cauliflower mosaic virus</t>
  </si>
  <si>
    <t>Bdellomicrovirus</t>
  </si>
  <si>
    <t>Chlamydiamicrovirus</t>
  </si>
  <si>
    <t>Cowpea mild mottle virus</t>
  </si>
  <si>
    <t>Daphne virus S</t>
  </si>
  <si>
    <t>Narcissus common latent virus</t>
  </si>
  <si>
    <t>Nerine latent virus</t>
  </si>
  <si>
    <t>Passiflora latent virus</t>
  </si>
  <si>
    <t>Pea streak virus</t>
  </si>
  <si>
    <t>Poplar mosaic virus</t>
  </si>
  <si>
    <t>Potato latent virus</t>
  </si>
  <si>
    <t>Potato virus M</t>
  </si>
  <si>
    <t>Potato virus P</t>
  </si>
  <si>
    <t>Potato virus S</t>
  </si>
  <si>
    <t>Red clover vein mosaic virus</t>
  </si>
  <si>
    <t>Shallot latent virus</t>
  </si>
  <si>
    <t>Starling circovirus</t>
  </si>
  <si>
    <t>Gyrovirus</t>
  </si>
  <si>
    <t>Chicken anemia virus</t>
  </si>
  <si>
    <t>Closteroviridae</t>
  </si>
  <si>
    <t>Ampelovirus</t>
  </si>
  <si>
    <t>Tobacco streak virus</t>
  </si>
  <si>
    <t>Tulare apple mosaic virus</t>
  </si>
  <si>
    <t>Oleavirus</t>
  </si>
  <si>
    <t>Olive latent virus 2</t>
  </si>
  <si>
    <t>Acidianus filamentous virus 2</t>
  </si>
  <si>
    <t>Gammalipothrixvirus</t>
  </si>
  <si>
    <t>Acidianus filamentous virus 1</t>
  </si>
  <si>
    <t>Luteoviridae</t>
  </si>
  <si>
    <t>Lettuce chlorosis virus</t>
  </si>
  <si>
    <t>Lettuce infectious yellows virus</t>
  </si>
  <si>
    <t>Potato yellow vein virus</t>
  </si>
  <si>
    <t>Strawberry pallidosis-associated virus</t>
  </si>
  <si>
    <t>Beet mild yellowing virus</t>
  </si>
  <si>
    <t>Orthobunyavirus</t>
  </si>
  <si>
    <t>Groundnut rosette assistor virus</t>
  </si>
  <si>
    <t>Indonesian soybean dwarf virus</t>
  </si>
  <si>
    <t>Sweet potato leaf speckling virus</t>
  </si>
  <si>
    <t>Tobacco necrotic dwarf virus</t>
  </si>
  <si>
    <t>Cherry green ring mottle virus</t>
  </si>
  <si>
    <t>Cherry necrotic rusty mottle virus</t>
  </si>
  <si>
    <t>Potato virus T</t>
  </si>
  <si>
    <t>African cassava mosaic virus</t>
  </si>
  <si>
    <t>Ageratum enation virus</t>
  </si>
  <si>
    <t>Ageratum leaf curl virus</t>
  </si>
  <si>
    <t>Ageratum yellow vein Hualian virus</t>
  </si>
  <si>
    <t>Ageratum yellow vein Sri Lanka virus</t>
  </si>
  <si>
    <t>Ageratum yellow vein virus</t>
  </si>
  <si>
    <t>Alternanthera yellow vein virus</t>
  </si>
  <si>
    <t>Bean calico mosaic virus</t>
  </si>
  <si>
    <t>Bean dwarf mosaic virus</t>
  </si>
  <si>
    <t>Montana myotis leukoencephalitis virus</t>
  </si>
  <si>
    <t>Cilevirus</t>
  </si>
  <si>
    <t>Citrus leprosis virus C</t>
  </si>
  <si>
    <t>Virgaviridae</t>
  </si>
  <si>
    <t>Torradovirus</t>
  </si>
  <si>
    <t>Tomato torrado virus</t>
  </si>
  <si>
    <t>Tomato marchitez virus</t>
  </si>
  <si>
    <t>Secoviridae</t>
  </si>
  <si>
    <t>Maize necrotic streak virus</t>
  </si>
  <si>
    <t>Pelargonium line pattern virus</t>
  </si>
  <si>
    <t>Caliciviridae</t>
  </si>
  <si>
    <t>Lagovirus</t>
  </si>
  <si>
    <t>European brown hare syndrome virus</t>
  </si>
  <si>
    <t>Rabbit hemorrhagic disease virus</t>
  </si>
  <si>
    <t>Norovirus</t>
  </si>
  <si>
    <t>Norwalk virus</t>
  </si>
  <si>
    <t>Sapovirus</t>
  </si>
  <si>
    <t>Sapporo virus</t>
  </si>
  <si>
    <t>Vesivirus</t>
  </si>
  <si>
    <t>Feline calicivirus</t>
  </si>
  <si>
    <t>Vesicular exanthema of swine virus</t>
  </si>
  <si>
    <t>Caulimoviridae</t>
  </si>
  <si>
    <t>Badnavirus</t>
  </si>
  <si>
    <t>Aglaonema bacilliform virus</t>
  </si>
  <si>
    <t>Semotivirus</t>
  </si>
  <si>
    <t>Anopheles gambiae Moose virus</t>
  </si>
  <si>
    <t>Ascaris lumbricoides Tas virus</t>
  </si>
  <si>
    <t>Bombyx mori Pao virus</t>
  </si>
  <si>
    <t>Canna yellow mottle virus</t>
  </si>
  <si>
    <t>Chironomus attenuatus entomopoxvirus</t>
  </si>
  <si>
    <t>Sugarcane bacilliform IM virus</t>
  </si>
  <si>
    <t>Taro bacilliform virus</t>
  </si>
  <si>
    <t>Lettuce virus X</t>
  </si>
  <si>
    <t>Piper yellow mottle virus</t>
  </si>
  <si>
    <t>Rubus yellow net virus</t>
  </si>
  <si>
    <t>Schefflera ringspot virus</t>
  </si>
  <si>
    <t>Spiromicrovirus</t>
  </si>
  <si>
    <t>Mimiviridae</t>
  </si>
  <si>
    <t>Mimivirus</t>
  </si>
  <si>
    <t>Acanthamoeba polyphaga mimivirus</t>
  </si>
  <si>
    <t>Nanoviridae</t>
  </si>
  <si>
    <t>Babuvirus</t>
  </si>
  <si>
    <t>Banana bunchy top virus</t>
  </si>
  <si>
    <t>Nanovirus</t>
  </si>
  <si>
    <t>Dahlia mosaic virus</t>
  </si>
  <si>
    <t>Chrysanthemum virus B</t>
  </si>
  <si>
    <t>Cole latent virus</t>
  </si>
  <si>
    <t>Lily symptomless virus</t>
  </si>
  <si>
    <t>Melon yellowing-associated virus</t>
  </si>
  <si>
    <t>Pospiviroidae</t>
  </si>
  <si>
    <t>Apscaviroid</t>
  </si>
  <si>
    <t>Apple dimple fruit viroid</t>
  </si>
  <si>
    <t>Apple scar skin viroid</t>
  </si>
  <si>
    <t>Australian grapevine viroid</t>
  </si>
  <si>
    <t>Citrus bent leaf viroid</t>
  </si>
  <si>
    <t>Citrus dwarfing viroid</t>
  </si>
  <si>
    <t>Grapevine yellow speckle viroid 1</t>
  </si>
  <si>
    <t>Grapevine yellow speckle viroid 2</t>
  </si>
  <si>
    <t>Pear blister canker viroid</t>
  </si>
  <si>
    <t>Cocadviroid</t>
  </si>
  <si>
    <t>Citrus bark cracking viroid</t>
  </si>
  <si>
    <t>Coconut cadang-cadang viroid</t>
  </si>
  <si>
    <t>Coconut tinangaja viroid</t>
  </si>
  <si>
    <t>Hop latent viroid</t>
  </si>
  <si>
    <t>Grapevine leafroll-associated virus 1</t>
  </si>
  <si>
    <t>Grapevine leafroll-associated virus 3</t>
  </si>
  <si>
    <t>Little cherry virus 2</t>
  </si>
  <si>
    <t>Pineapple mealybug wilt-associated virus 1</t>
  </si>
  <si>
    <t>Pineapple mealybug wilt-associated virus 2</t>
  </si>
  <si>
    <t>Closterovirus</t>
  </si>
  <si>
    <t>Beet yellow stunt virus</t>
  </si>
  <si>
    <t>Beet yellows virus</t>
  </si>
  <si>
    <t>Burdock yellows virus</t>
  </si>
  <si>
    <t>Carnation necrotic fleck virus</t>
  </si>
  <si>
    <t>Carrot yellow leaf virus</t>
  </si>
  <si>
    <t>Citrus tristeza virus</t>
  </si>
  <si>
    <t>Grapevine leafroll-associated virus 2</t>
  </si>
  <si>
    <t>Mint virus 1</t>
  </si>
  <si>
    <t>Wheat yellow leaf virus</t>
  </si>
  <si>
    <t>Crinivirus</t>
  </si>
  <si>
    <t>Abutilon yellows virus</t>
  </si>
  <si>
    <t>Cucurbit yellow stunting disorder virus</t>
  </si>
  <si>
    <t>Corticoviridae</t>
  </si>
  <si>
    <t>Corticovirus</t>
  </si>
  <si>
    <t>Volvox carteri Lueckenbuesser virus</t>
  </si>
  <si>
    <t>Cystoviridae</t>
  </si>
  <si>
    <t>Tomato mild mottle virus</t>
  </si>
  <si>
    <t>Poxviridae</t>
  </si>
  <si>
    <t>Chordopoxvirinae</t>
  </si>
  <si>
    <t>Avipoxvirus</t>
  </si>
  <si>
    <t>Cystovirus</t>
  </si>
  <si>
    <t>Apricot pseudo-chlorotic leaf spot virus</t>
  </si>
  <si>
    <t>Cherry mottle leaf virus</t>
  </si>
  <si>
    <t>Grapevine berry inner necrosis virus</t>
  </si>
  <si>
    <t>Peach mosaic virus</t>
  </si>
  <si>
    <t>Banana mild mosaic virus</t>
  </si>
  <si>
    <t>Heracleum latent virus</t>
  </si>
  <si>
    <t>Fuselloviridae</t>
  </si>
  <si>
    <t>Sulfolobus spindle-shaped virus 1</t>
  </si>
  <si>
    <t>Geminiviridae</t>
  </si>
  <si>
    <t>Begomovirus</t>
  </si>
  <si>
    <t>Abutilon mosaic virus</t>
  </si>
  <si>
    <t>Cocksfoot streak virus</t>
  </si>
  <si>
    <t>Colombian datura virus</t>
  </si>
  <si>
    <t>Commelina mosaic virus</t>
  </si>
  <si>
    <t>Cowpea aphid-borne mosaic virus</t>
  </si>
  <si>
    <t>Cypripedium virus Y</t>
  </si>
  <si>
    <t>Daphne mosaic virus</t>
  </si>
  <si>
    <t>Dasheen mosaic virus</t>
  </si>
  <si>
    <t>Datura shoestring virus</t>
  </si>
  <si>
    <t>Diuris virus Y</t>
  </si>
  <si>
    <t>East Asian Passiflora virus</t>
  </si>
  <si>
    <t>Endive necrotic mosaic virus</t>
  </si>
  <si>
    <t>Euphorbia ringspot virus</t>
  </si>
  <si>
    <t>Freesia mosaic virus</t>
  </si>
  <si>
    <t>Fritillary virus Y</t>
  </si>
  <si>
    <t>Gloriosa stripe mosaic virus</t>
  </si>
  <si>
    <t>Algerian watermelon mosaic virus</t>
  </si>
  <si>
    <t>Alternanthera mild mosaic virus</t>
  </si>
  <si>
    <t>Angelica virus Y</t>
  </si>
  <si>
    <t>Butterfly flower mosaic virus</t>
  </si>
  <si>
    <t>Canna yellow streak virus</t>
  </si>
  <si>
    <t>Hardenbergia mosaic virus</t>
  </si>
  <si>
    <t>Peach chlorotic mottle virus</t>
  </si>
  <si>
    <t>Mint virus 2</t>
  </si>
  <si>
    <t>Coleus vein necrosis virus</t>
  </si>
  <si>
    <t>Ligustrum necrotic ringspot virus</t>
  </si>
  <si>
    <t>Malva mosaic virus</t>
  </si>
  <si>
    <t>Phaius virus X</t>
  </si>
  <si>
    <t>Johnsongrass chlorotic stripe mosaic virus</t>
  </si>
  <si>
    <t>Lolavirus</t>
  </si>
  <si>
    <t>Lolium latent virus</t>
  </si>
  <si>
    <t>Plum bark necrosis stem pitting-associated virus</t>
  </si>
  <si>
    <t>Bean yellow disorder virus</t>
  </si>
  <si>
    <t>Banana streak GF virus</t>
  </si>
  <si>
    <t>Banana streak OL virus</t>
  </si>
  <si>
    <t>Salmonid herpesvirus 2</t>
  </si>
  <si>
    <t>Bovine rhinitis B virus</t>
  </si>
  <si>
    <t>Chironomus luridus entomopoxvirus</t>
  </si>
  <si>
    <t>Caulimovirus</t>
  </si>
  <si>
    <t>Diachasmimorpha entomopoxvirus</t>
  </si>
  <si>
    <t>Pseudoviridae</t>
  </si>
  <si>
    <t>Hemivirus</t>
  </si>
  <si>
    <t>Arracacha mottle virus</t>
  </si>
  <si>
    <t>Brugmansia suaveolens mottle virus</t>
  </si>
  <si>
    <t>Chilli ringspot virus</t>
  </si>
  <si>
    <t>Malva vein clearing virus</t>
  </si>
  <si>
    <t>Telosma mosaic virus</t>
  </si>
  <si>
    <t>Twisted-stalk chlorotic streak virus</t>
  </si>
  <si>
    <t>Vallota mosaic virus</t>
  </si>
  <si>
    <t>Wild tomato mosaic virus</t>
  </si>
  <si>
    <t>Wheat eqlid mosaic virus</t>
  </si>
  <si>
    <t>Carrot necrotic dieback virus</t>
  </si>
  <si>
    <t>Black raspberry necrosis virus</t>
  </si>
  <si>
    <t>Citrus viroid V</t>
  </si>
  <si>
    <t>Citrus viroid VI</t>
  </si>
  <si>
    <t>Beet curly top Iran virus</t>
  </si>
  <si>
    <t>Alligatorweed stunting virus</t>
  </si>
  <si>
    <t>Grapevine leafroll-associated virus 7</t>
  </si>
  <si>
    <t>Little cherry virus 1</t>
  </si>
  <si>
    <t>Megakepasma mosaic virus</t>
  </si>
  <si>
    <t>Olive leaf yellowing-associated virus</t>
  </si>
  <si>
    <t>Aurivirus</t>
  </si>
  <si>
    <t>Haliotid herpesvirus 1</t>
  </si>
  <si>
    <t>Ligamenvirales</t>
  </si>
  <si>
    <t>Perhabdovirus</t>
  </si>
  <si>
    <t>Sigmavirus</t>
  </si>
  <si>
    <t>Drosophila affinis sigmavirus</t>
  </si>
  <si>
    <t>Drosophila ananassae sigmavirus</t>
  </si>
  <si>
    <t>Drosophila immigrans sigmavirus</t>
  </si>
  <si>
    <t>Drosophila melanogaster sigmavirus</t>
  </si>
  <si>
    <t>Drosophila obscura sigmavirus</t>
  </si>
  <si>
    <t>Drosophila tristis sigmavirus</t>
  </si>
  <si>
    <t>Muscina stabulans sigmavirus</t>
  </si>
  <si>
    <t>Tibrovirus</t>
  </si>
  <si>
    <t>Mesoniviridae</t>
  </si>
  <si>
    <t>Alphamesonivirus</t>
  </si>
  <si>
    <t>Alphamesonivirus 1</t>
  </si>
  <si>
    <t>Aquamavirus</t>
  </si>
  <si>
    <t>Aquamavirus A</t>
  </si>
  <si>
    <t>Cosavirus</t>
  </si>
  <si>
    <t>Cosavirus A</t>
  </si>
  <si>
    <t>Dicipivirus</t>
  </si>
  <si>
    <t>Cadicivirus A</t>
  </si>
  <si>
    <t>Enterovirus A</t>
  </si>
  <si>
    <t>Enterovirus B</t>
  </si>
  <si>
    <t>Enterovirus C</t>
  </si>
  <si>
    <t>Enterovirus D</t>
  </si>
  <si>
    <t>Enterovirus E</t>
  </si>
  <si>
    <t>Enterovirus F</t>
  </si>
  <si>
    <t>Enterovirus G</t>
  </si>
  <si>
    <t>Enterovirus H</t>
  </si>
  <si>
    <t>Enterovirus J</t>
  </si>
  <si>
    <t>Rhinovirus A</t>
  </si>
  <si>
    <t>Rhinovirus B</t>
  </si>
  <si>
    <t>Rhinovirus C</t>
  </si>
  <si>
    <t>Aichivirus A</t>
  </si>
  <si>
    <t>Aichivirus B</t>
  </si>
  <si>
    <t>Aichivirus C</t>
  </si>
  <si>
    <t>Megrivirus</t>
  </si>
  <si>
    <t>Salivirus</t>
  </si>
  <si>
    <t>Salivirus A</t>
  </si>
  <si>
    <t>Cucurbit mild mosaic virus</t>
  </si>
  <si>
    <t>Blueberry latent spherical virus</t>
  </si>
  <si>
    <t>Allium virus X</t>
  </si>
  <si>
    <t>Lagenaria mild mosaic virus</t>
  </si>
  <si>
    <t>Blackberry virus E</t>
  </si>
  <si>
    <t>Butterbur mosaic virus</t>
  </si>
  <si>
    <t>Cucumber vein-clearing virus</t>
  </si>
  <si>
    <t>Helleborus mosaic virus</t>
  </si>
  <si>
    <t>Hippeastrum latent virus</t>
  </si>
  <si>
    <t>Hydrangea chlorotic mottle virus</t>
  </si>
  <si>
    <t>Mirabilis jalapa mottle virus</t>
  </si>
  <si>
    <t>Phlox virus B</t>
  </si>
  <si>
    <t>Phlox virus M</t>
  </si>
  <si>
    <t>Phlox virus S</t>
  </si>
  <si>
    <t>Sweet potato C6 virus</t>
  </si>
  <si>
    <t>Asian prunus virus 1</t>
  </si>
  <si>
    <t>Grapevine Pinot gris virus</t>
  </si>
  <si>
    <t>Phlomis mottle virus</t>
  </si>
  <si>
    <t>Banana virus X</t>
  </si>
  <si>
    <t>Hardenbergia virus A</t>
  </si>
  <si>
    <t>Actinidia virus A</t>
  </si>
  <si>
    <t>Antheraea pernyi nucleopolyhedrovirus</t>
  </si>
  <si>
    <t>Chrysodeixis chalcites nucleopolyhedrovirus</t>
  </si>
  <si>
    <t>Clanis bilineata nucleopolyhedrovirus</t>
  </si>
  <si>
    <t>Euproctis pseudoconspersa nucleopolyhedrovirus</t>
  </si>
  <si>
    <t>Hyphantria cunea nucleopolyhedrovirus</t>
  </si>
  <si>
    <t>Leucania separata nucleopolyhedrovirus</t>
  </si>
  <si>
    <t>Maruca vitrata nucleopolyhedrovirus</t>
  </si>
  <si>
    <t>Amasya cherry disease associated chrysovirus</t>
  </si>
  <si>
    <t>Aspergillus fumigatus chrysovirus</t>
  </si>
  <si>
    <t>Cryphonectria nitschkei chrysovirus 1</t>
  </si>
  <si>
    <t>Fusarium oxysporum chrysovirus 1</t>
  </si>
  <si>
    <t>Verticillium dahliae chrysovirus 1</t>
  </si>
  <si>
    <t>Grapevine leafroll-associated virus 4</t>
  </si>
  <si>
    <t>Diodia vein chlorosis virus</t>
  </si>
  <si>
    <t>Pegivirus</t>
  </si>
  <si>
    <t>Pegivirus A</t>
  </si>
  <si>
    <t>Pegivirus B</t>
  </si>
  <si>
    <t>Alphafusellovirus</t>
  </si>
  <si>
    <t>Sulfolobus spindle-shaped virus 2</t>
  </si>
  <si>
    <t>Sulfolobus spindle-shaped virus 4</t>
  </si>
  <si>
    <t>Sulfolobus spindle-shaped virus 5</t>
  </si>
  <si>
    <t>Sulfolobus spindle-shaped virus 7</t>
  </si>
  <si>
    <t>Sulfolobus spindle-shaped virus 8</t>
  </si>
  <si>
    <t>Sulfolobus spindle-shaped virus 9</t>
  </si>
  <si>
    <t>Betafusellovirus</t>
  </si>
  <si>
    <t>Acidianus spindle-shaped virus 1</t>
  </si>
  <si>
    <t>Sulfolobus spindle-shaped virus 6</t>
  </si>
  <si>
    <t>Becurtovirus</t>
  </si>
  <si>
    <t>Spinach curly top Arizona virus</t>
  </si>
  <si>
    <t>Spinach severe curly top virus</t>
  </si>
  <si>
    <t>Eragrovirus</t>
  </si>
  <si>
    <t>Eragrostis curvula streak virus</t>
  </si>
  <si>
    <t>Bromus catharticus striate mosaic virus</t>
  </si>
  <si>
    <t>Chickpea chlorosis Australia virus</t>
  </si>
  <si>
    <t>Chickpea chlorosis virus</t>
  </si>
  <si>
    <t>Chickpea chlorotic dwarf virus</t>
  </si>
  <si>
    <t>Chickpea redleaf virus</t>
  </si>
  <si>
    <t>Chickpea yellows virus</t>
  </si>
  <si>
    <t>Digitaria ciliaris striate mosaic virus</t>
  </si>
  <si>
    <t>Digitaria didactyla striate mosaic virus</t>
  </si>
  <si>
    <t>Eragrostis minor streak virus</t>
  </si>
  <si>
    <t>Maize streak Reunion virus</t>
  </si>
  <si>
    <t>Oat dwarf virus</t>
  </si>
  <si>
    <t>Paspalum dilatatum striate mosaic virus</t>
  </si>
  <si>
    <t>Paspalum striate mosaic virus</t>
  </si>
  <si>
    <t>Saccharum streak virus</t>
  </si>
  <si>
    <t>Wheat dwarf India virus</t>
  </si>
  <si>
    <t>Turncurtovirus</t>
  </si>
  <si>
    <t>Turnip curly top virus</t>
  </si>
  <si>
    <t>Alphaguttavirus</t>
  </si>
  <si>
    <t>Betaguttavirus</t>
  </si>
  <si>
    <t>Aeropyrum pernix ovoid virus 1</t>
  </si>
  <si>
    <t>Cafeteriavirus</t>
  </si>
  <si>
    <t>Cafeteria roenbergensis virus</t>
  </si>
  <si>
    <t>Faba bean yellow leaf virus</t>
  </si>
  <si>
    <t>Quaranjavirus</t>
  </si>
  <si>
    <t>Quadriviridae</t>
  </si>
  <si>
    <t>Quadrivirus</t>
  </si>
  <si>
    <t>Rosellinia necatrix quadrivirus 1</t>
  </si>
  <si>
    <t>Madariaga virus</t>
  </si>
  <si>
    <t>Alphanecrovirus</t>
  </si>
  <si>
    <t>Betanecrovirus</t>
  </si>
  <si>
    <t>Gallantivirus</t>
  </si>
  <si>
    <t>Macanavirus</t>
  </si>
  <si>
    <t>Furcraea necrotic streak virus</t>
  </si>
  <si>
    <t>Zeavirus</t>
  </si>
  <si>
    <t>Rice stripe necrosis virus</t>
  </si>
  <si>
    <t>Bell pepper mottle virus</t>
  </si>
  <si>
    <t>Cactus mild mottle virus</t>
  </si>
  <si>
    <t>Clitoria yellow mottle virus</t>
  </si>
  <si>
    <t>Cucumber mottle virus</t>
  </si>
  <si>
    <t>Maracuja mosaic virus</t>
  </si>
  <si>
    <t>Passion fruit mosaic virus</t>
  </si>
  <si>
    <t>Rattail cactus necrosis-associated virus</t>
  </si>
  <si>
    <t>Tropical soda apple mosaic virus</t>
  </si>
  <si>
    <t>Actinidia virus B</t>
  </si>
  <si>
    <t>Cuevavirus</t>
  </si>
  <si>
    <t>Lloviu cuevavirus</t>
  </si>
  <si>
    <t>Nyamiviridae</t>
  </si>
  <si>
    <t>Nyavirus</t>
  </si>
  <si>
    <t>Midway nyavirus</t>
  </si>
  <si>
    <t>Nyamanini nyavirus</t>
  </si>
  <si>
    <t>Bokeloh bat lyssavirus</t>
  </si>
  <si>
    <t>Ikoma lyssavirus</t>
  </si>
  <si>
    <t>Sprivivirus</t>
  </si>
  <si>
    <t>Tupavirus</t>
  </si>
  <si>
    <t>Lygus lineolaris virus 1</t>
  </si>
  <si>
    <t>Nilaparvata lugens honeydew virus 1</t>
  </si>
  <si>
    <t>Avisivirus</t>
  </si>
  <si>
    <t>Avisivirus A</t>
  </si>
  <si>
    <t>Gallivirus</t>
  </si>
  <si>
    <t>Gallivirus A</t>
  </si>
  <si>
    <t>Hunnivirus</t>
  </si>
  <si>
    <t>Hunnivirus A</t>
  </si>
  <si>
    <t>Mischivirus</t>
  </si>
  <si>
    <t>Mischivirus A</t>
  </si>
  <si>
    <t>Mosavirus</t>
  </si>
  <si>
    <t>Mosavirus A</t>
  </si>
  <si>
    <t>Oscivirus</t>
  </si>
  <si>
    <t>Oscivirus A</t>
  </si>
  <si>
    <t>Pasivirus</t>
  </si>
  <si>
    <t>Pasivirus A</t>
  </si>
  <si>
    <t>Passerivirus</t>
  </si>
  <si>
    <t>Passerivirus A</t>
  </si>
  <si>
    <t>Rosavirus</t>
  </si>
  <si>
    <t>Rosavirus A</t>
  </si>
  <si>
    <t>Arracacha virus B</t>
  </si>
  <si>
    <t>Citrus yellow vein clearing virus</t>
  </si>
  <si>
    <t>Rubus canadensis virus 1</t>
  </si>
  <si>
    <t>Diuris virus A</t>
  </si>
  <si>
    <t>Diuris virus B</t>
  </si>
  <si>
    <t>Grapevine virus F</t>
  </si>
  <si>
    <t>Andean potato mild mosaic virus</t>
  </si>
  <si>
    <t>Bovine atadenovirus D</t>
  </si>
  <si>
    <t>Duck atadenovirus A</t>
  </si>
  <si>
    <t>Ovine atadenovirus D</t>
  </si>
  <si>
    <t>Possum atadenovirus A</t>
  </si>
  <si>
    <t>Snake atadenovirus A</t>
  </si>
  <si>
    <t>Falcon aviadenovirus A</t>
  </si>
  <si>
    <t>Fowl aviadenovirus A</t>
  </si>
  <si>
    <t>Fowl aviadenovirus B</t>
  </si>
  <si>
    <t>Fowl aviadenovirus C</t>
  </si>
  <si>
    <t>Fowl aviadenovirus D</t>
  </si>
  <si>
    <t>Fowl aviadenovirus E</t>
  </si>
  <si>
    <t>Goose aviadenovirus A</t>
  </si>
  <si>
    <t>Turkey aviadenovirus B</t>
  </si>
  <si>
    <t>Sturgeon ichtadenovirus A</t>
  </si>
  <si>
    <t>Bat mastadenovirus A</t>
  </si>
  <si>
    <t>Bat mastadenovirus B</t>
  </si>
  <si>
    <t>Bovine mastadenovirus A</t>
  </si>
  <si>
    <t>Bovine mastadenovirus B</t>
  </si>
  <si>
    <t>Bovine mastadenovirus C</t>
  </si>
  <si>
    <t>Canine mastadenovirus A</t>
  </si>
  <si>
    <t>Equine mastadenovirus A</t>
  </si>
  <si>
    <t>Equine mastadenovirus B</t>
  </si>
  <si>
    <t>Human mastadenovirus A</t>
  </si>
  <si>
    <t>Human mastadenovirus B</t>
  </si>
  <si>
    <t>Human mastadenovirus C</t>
  </si>
  <si>
    <t>Human mastadenovirus D</t>
  </si>
  <si>
    <t>Human mastadenovirus E</t>
  </si>
  <si>
    <t>Human mastadenovirus F</t>
  </si>
  <si>
    <t>Human mastadenovirus G</t>
  </si>
  <si>
    <t>Murine mastadenovirus A</t>
  </si>
  <si>
    <t>Murine mastadenovirus B</t>
  </si>
  <si>
    <t>Murine mastadenovirus C</t>
  </si>
  <si>
    <t>Ovine mastadenovirus A</t>
  </si>
  <si>
    <t>Ovine mastadenovirus B</t>
  </si>
  <si>
    <t>Porcine mastadenovirus A</t>
  </si>
  <si>
    <t>Porcine mastadenovirus B</t>
  </si>
  <si>
    <t>Porcine mastadenovirus C</t>
  </si>
  <si>
    <t>Simian mastadenovirus A</t>
  </si>
  <si>
    <t>Tree shrew mastadenovirus A</t>
  </si>
  <si>
    <t>Frog siadenovirus A</t>
  </si>
  <si>
    <t>Great tit siadenovirus A</t>
  </si>
  <si>
    <t>Raptor siadenovirus A</t>
  </si>
  <si>
    <t>Skua siadenovirus A</t>
  </si>
  <si>
    <t>Turkey siadenovirus A</t>
  </si>
  <si>
    <t>Amalgaviridae</t>
  </si>
  <si>
    <t>Amalgavirus</t>
  </si>
  <si>
    <t>Blueberry latent virus</t>
  </si>
  <si>
    <t>Rhododendron virus A</t>
  </si>
  <si>
    <t>Southern tomato virus</t>
  </si>
  <si>
    <t>Vicia cryptic virus M</t>
  </si>
  <si>
    <t>Benyviridae</t>
  </si>
  <si>
    <t>Burdock mottle virus</t>
  </si>
  <si>
    <t>Amazon lily mild mottle virus</t>
  </si>
  <si>
    <t>Velarivirus</t>
  </si>
  <si>
    <t>Cordyline virus 1</t>
  </si>
  <si>
    <t>Abutilon mosaic Bolivia virus</t>
  </si>
  <si>
    <t>Abutilon mosaic Brazil virus</t>
  </si>
  <si>
    <t>Allamanda leaf curl virus</t>
  </si>
  <si>
    <t>Bean chlorosis virus</t>
  </si>
  <si>
    <t>Bean yellow mosaic Mexico virus</t>
  </si>
  <si>
    <t>Bhendi yellow vein Bhubhaneswar virus</t>
  </si>
  <si>
    <t>Bhendi yellow vein Haryana virus</t>
  </si>
  <si>
    <t>Blainvillea yellow spot virus</t>
  </si>
  <si>
    <t>Blechum interveinal chlorosis virus</t>
  </si>
  <si>
    <t>Centrosema yellow spot virus</t>
  </si>
  <si>
    <t>Chino del tomate Amazonas virus</t>
  </si>
  <si>
    <t>Cleome golden mosaic virus</t>
  </si>
  <si>
    <t>Cleome leaf crumple virus</t>
  </si>
  <si>
    <t>Dalechampia chlorotic mosaic virus</t>
  </si>
  <si>
    <t>Datura leaf distortion virus</t>
  </si>
  <si>
    <t>Euphorbia yellow mosaic virus</t>
  </si>
  <si>
    <t>Hollyhock leaf curl virus</t>
  </si>
  <si>
    <t>Jacquemontia mosaic Yucatan virus</t>
  </si>
  <si>
    <t>Jatropha mosaic India virus</t>
  </si>
  <si>
    <t>Leonurus mosaic virus</t>
  </si>
  <si>
    <t>Macroptilium golden mosaic virus</t>
  </si>
  <si>
    <t>Macroptilium yellow spot virus</t>
  </si>
  <si>
    <t>Macroptilium yellow vein virus</t>
  </si>
  <si>
    <t>Malvastrum yellow mosaic Helshire virus</t>
  </si>
  <si>
    <t>Malvastrum yellow mosaic Jamaica virus</t>
  </si>
  <si>
    <t>Malvastrum yellow vein Honghe virus</t>
  </si>
  <si>
    <t>Melon chlorotic mosaic virus</t>
  </si>
  <si>
    <t>Merremia mosaic Puerto Rico virus</t>
  </si>
  <si>
    <t>Okra enation leaf curl virus</t>
  </si>
  <si>
    <t>Okra mottle virus</t>
  </si>
  <si>
    <t>Papaya leaf crumple virus</t>
  </si>
  <si>
    <t>Passionfruit severe leaf distortion virus</t>
  </si>
  <si>
    <t>Pepper leaf curl Yunnan virus</t>
  </si>
  <si>
    <t>Rhynchosia golden mosaic Havana virus</t>
  </si>
  <si>
    <t>Rhynchosia mild mosaic virus</t>
  </si>
  <si>
    <t>Rhynchosia rugose golden mosaic virus</t>
  </si>
  <si>
    <t>Rhynchosia yellow mosaic virus</t>
  </si>
  <si>
    <t>Rose leaf curl virus</t>
  </si>
  <si>
    <t>Sida golden mosaic Braco virus</t>
  </si>
  <si>
    <t>Sida golden mosaic Buckup virus</t>
  </si>
  <si>
    <t>Sida golden mottle virus</t>
  </si>
  <si>
    <t>Sida mosaic Alagoas virus</t>
  </si>
  <si>
    <t>Sida mosaic Bolivia virus 1</t>
  </si>
  <si>
    <t>Sida mosaic Bolivia virus 2</t>
  </si>
  <si>
    <t>Sida mosaic Sinaloa virus</t>
  </si>
  <si>
    <t>Sida mottle Alagoas virus</t>
  </si>
  <si>
    <t>Sida yellow blotch virus</t>
  </si>
  <si>
    <t>Sida yellow mosaic Alagoas virus</t>
  </si>
  <si>
    <t>Sida yellow mottle virus</t>
  </si>
  <si>
    <t>Sida yellow net virus</t>
  </si>
  <si>
    <t>Soybean mild mottle virus</t>
  </si>
  <si>
    <t>Sweet potato leaf curl Sao Paulo virus</t>
  </si>
  <si>
    <t>Sweet potato leaf curl South Carolina virus</t>
  </si>
  <si>
    <t>Sweet potato mosaic virus</t>
  </si>
  <si>
    <t>Tobacco leaf curl Pusa virus</t>
  </si>
  <si>
    <t>Tobacco leaf curl Thailand virus</t>
  </si>
  <si>
    <t>Tobacco leaf rugose virus</t>
  </si>
  <si>
    <t>Tobacco mottle leaf curl virus</t>
  </si>
  <si>
    <t>Tobacco yellow crinkle virus</t>
  </si>
  <si>
    <t>Tomato chlorotic leaf distortion virus</t>
  </si>
  <si>
    <t>Tomato common mosaic virus</t>
  </si>
  <si>
    <t>Tomato dwarf leaf virus</t>
  </si>
  <si>
    <t>Tomato golden vein virus</t>
  </si>
  <si>
    <t>Tomato leaf curl Anjouan virus</t>
  </si>
  <si>
    <t>Tomato leaf curl Cebu virus</t>
  </si>
  <si>
    <t>Tomato leaf curl Diana virus</t>
  </si>
  <si>
    <t>Tomato leaf curl Ghana virus</t>
  </si>
  <si>
    <t>Tomato leaf curl Hainan virus</t>
  </si>
  <si>
    <t>Tomato leaf curl Hanoi virus</t>
  </si>
  <si>
    <t>Tomato leaf curl Iran virus</t>
  </si>
  <si>
    <t>Tomato leaf curl Mindanao virus</t>
  </si>
  <si>
    <t>Tomato leaf curl Moheli virus</t>
  </si>
  <si>
    <t>Tomato leaf curl Namakely virus</t>
  </si>
  <si>
    <t>Tomato leaf curl Nigeria virus</t>
  </si>
  <si>
    <t>Tomato leaf curl Toliara virus</t>
  </si>
  <si>
    <t>Tomato leaf deformation virus</t>
  </si>
  <si>
    <t>Tomato leaf distortion virus</t>
  </si>
  <si>
    <t>Tomato mild mosaic virus</t>
  </si>
  <si>
    <t>Tomato mottle leaf curl virus</t>
  </si>
  <si>
    <t>Tomato rugose yellow leaf curl virus</t>
  </si>
  <si>
    <t>Tomato yellow leaf distortion virus</t>
  </si>
  <si>
    <t>Tomato yellow mottle virus</t>
  </si>
  <si>
    <t>West African Asystasia virus 1</t>
  </si>
  <si>
    <t>West African Asystasia virus 2</t>
  </si>
  <si>
    <t>Wissadula golden mosaic virus</t>
  </si>
  <si>
    <t>Pea enation mosaic virus 1</t>
  </si>
  <si>
    <t>Cotton leafroll dwarf virus</t>
  </si>
  <si>
    <t>Suakwa aphid-borne yellows virus</t>
  </si>
  <si>
    <t>Marseilleviridae</t>
  </si>
  <si>
    <t>Marseillevirus</t>
  </si>
  <si>
    <t>Marseillevirus marseillevirus</t>
  </si>
  <si>
    <t>Senegalvirus marseillevirus</t>
  </si>
  <si>
    <t>Lausannevirus</t>
  </si>
  <si>
    <t>Tunisvirus</t>
  </si>
  <si>
    <t>Nudiviridae</t>
  </si>
  <si>
    <t>Alphanudivirus</t>
  </si>
  <si>
    <t>Gryllus bimaculatus nudivirus</t>
  </si>
  <si>
    <t>Oryctes rhinoceros nudivirus</t>
  </si>
  <si>
    <t>Betanudivirus</t>
  </si>
  <si>
    <t>Heliothis zea nudivirus</t>
  </si>
  <si>
    <t>Chipapillomavirus 3</t>
  </si>
  <si>
    <t>Deltapapillomavirus 6</t>
  </si>
  <si>
    <t>Dyoiotapapillomavirus 2</t>
  </si>
  <si>
    <t>Dyokappapapillomavirus</t>
  </si>
  <si>
    <t>Dyokappapapillomavirus 1</t>
  </si>
  <si>
    <t>Dyolambdapapillomavirus</t>
  </si>
  <si>
    <t>Dyolambdapapillomavirus 1</t>
  </si>
  <si>
    <t>Dyomupapillomavirus</t>
  </si>
  <si>
    <t>Dyomupapillomavirus 1</t>
  </si>
  <si>
    <t>Dyonupapillomavirus</t>
  </si>
  <si>
    <t>Dyonupapillomavirus 1</t>
  </si>
  <si>
    <t>Dyoomikronpapillomavirus</t>
  </si>
  <si>
    <t>Dyoomikronpapillomavirus 1</t>
  </si>
  <si>
    <t>Dyopipapillomavirus</t>
  </si>
  <si>
    <t>Dyopipapillomavirus 1</t>
  </si>
  <si>
    <t>Dyorhopapillomavirus</t>
  </si>
  <si>
    <t>Dyorhopapillomavirus 1</t>
  </si>
  <si>
    <t>Dyosigmapapillomavirus</t>
  </si>
  <si>
    <t>Dyosigmapapillomavirus 1</t>
  </si>
  <si>
    <t>Dyoxipapillomavirus</t>
  </si>
  <si>
    <t>Dyoxipapillomavirus 1</t>
  </si>
  <si>
    <t>Gammapapillomavirus 11</t>
  </si>
  <si>
    <t>Gammapapillomavirus 12</t>
  </si>
  <si>
    <t>Gammapapillomavirus 13</t>
  </si>
  <si>
    <t>Gammapapillomavirus 14</t>
  </si>
  <si>
    <t>Gammapapillomavirus 15</t>
  </si>
  <si>
    <t>Gammapapillomavirus 16</t>
  </si>
  <si>
    <t>Gammapapillomavirus 17</t>
  </si>
  <si>
    <t>Gammapapillomavirus 18</t>
  </si>
  <si>
    <t>Gammapapillomavirus 19</t>
  </si>
  <si>
    <t>Gammapapillomavirus 20</t>
  </si>
  <si>
    <t>Lambdapapillomavirus 5</t>
  </si>
  <si>
    <t>Taupapillomavirus 2</t>
  </si>
  <si>
    <t>Upsilonpapillomavirus 3</t>
  </si>
  <si>
    <t>Xipapillomavirus 2</t>
  </si>
  <si>
    <t>Alphapartitivirus</t>
  </si>
  <si>
    <t>Carrot cryptic virus</t>
  </si>
  <si>
    <t>Cherry chlorotic rusty spot associated partitivirus</t>
  </si>
  <si>
    <t>Chondrostereum purpureum cryptic virus 1</t>
  </si>
  <si>
    <t>Flammulina velutipes browning virus</t>
  </si>
  <si>
    <t>Rosellinia necatrix partitivirus 2</t>
  </si>
  <si>
    <t>Betapartitivirus</t>
  </si>
  <si>
    <t>Cannabis cryptic virus</t>
  </si>
  <si>
    <t>Crimson clover cryptic virus 2</t>
  </si>
  <si>
    <t>Dill cryptic virus 2</t>
  </si>
  <si>
    <t>Primula malacoides virus 1</t>
  </si>
  <si>
    <t>Deltapartitivirus</t>
  </si>
  <si>
    <t>Fig cryptic virus</t>
  </si>
  <si>
    <t>Pepper cryptic virus 1</t>
  </si>
  <si>
    <t>Pepper cryptic virus 2</t>
  </si>
  <si>
    <t>Gammapartitivirus</t>
  </si>
  <si>
    <t>Ambidensovirus</t>
  </si>
  <si>
    <t>Blattodean ambidensovirus 1</t>
  </si>
  <si>
    <t>Blattodean ambidensovirus 2</t>
  </si>
  <si>
    <t>Dipteran ambidensovirus 1</t>
  </si>
  <si>
    <t>Hemipteran ambidensovirus 1</t>
  </si>
  <si>
    <t>Lepidopteran ambidensovirus 1</t>
  </si>
  <si>
    <t>Orthopteran ambidensovirus 1</t>
  </si>
  <si>
    <t>Dipteran brevidensovirus 1</t>
  </si>
  <si>
    <t>Dipteran brevidensovirus 2</t>
  </si>
  <si>
    <t>Hepandensovirus</t>
  </si>
  <si>
    <t>Decapod hepandensovirus 1</t>
  </si>
  <si>
    <t>Iteradensovirus</t>
  </si>
  <si>
    <t>Lepidopteran iteradensovirus 1</t>
  </si>
  <si>
    <t>Lepidopteran iteradensovirus 2</t>
  </si>
  <si>
    <t>Lepidopteran iteradensovirus 3</t>
  </si>
  <si>
    <t>Lepidopteran iteradensovirus 4</t>
  </si>
  <si>
    <t>Lepidopteran iteradensovirus 5</t>
  </si>
  <si>
    <t>Penstyldensovirus</t>
  </si>
  <si>
    <t>Decapod penstyldensovirus 1</t>
  </si>
  <si>
    <t>Amdoparvovirus</t>
  </si>
  <si>
    <t>Carnivore amdoparvovirus 1</t>
  </si>
  <si>
    <t>Carnivore amdoparvovirus 2</t>
  </si>
  <si>
    <t>Aveparvovirus</t>
  </si>
  <si>
    <t>Galliform aveparvovirus 1</t>
  </si>
  <si>
    <t>Bocaparvovirus</t>
  </si>
  <si>
    <t>Carnivore bocaparvovirus 1</t>
  </si>
  <si>
    <t>Carnivore bocaparvovirus 2</t>
  </si>
  <si>
    <t>Carnivore bocaparvovirus 3</t>
  </si>
  <si>
    <t>Pinniped bocaparvovirus 1</t>
  </si>
  <si>
    <t>Pinniped bocaparvovirus 2</t>
  </si>
  <si>
    <t>Primate bocaparvovirus 1</t>
  </si>
  <si>
    <t>Primate bocaparvovirus 2</t>
  </si>
  <si>
    <t>Ungulate bocaparvovirus 1</t>
  </si>
  <si>
    <t>Ungulate bocaparvovirus 2</t>
  </si>
  <si>
    <t>Ungulate bocaparvovirus 3</t>
  </si>
  <si>
    <t>Ungulate bocaparvovirus 4</t>
  </si>
  <si>
    <t>Ungulate bocaparvovirus 5</t>
  </si>
  <si>
    <t>Copiparvovirus</t>
  </si>
  <si>
    <t>Ungulate copiparvovirus 1</t>
  </si>
  <si>
    <t>Ungulate copiparvovirus 2</t>
  </si>
  <si>
    <t>Dependoparvovirus</t>
  </si>
  <si>
    <t>Adeno-associated dependoparvovirus A</t>
  </si>
  <si>
    <t>Adeno-associated dependoparvovirus B</t>
  </si>
  <si>
    <t>Anseriform dependoparvovirus 1</t>
  </si>
  <si>
    <t>Avian dependoparvovirus 1</t>
  </si>
  <si>
    <t>Chiropteran dependoparvovirus 1</t>
  </si>
  <si>
    <t>Pinniped dependoparvovirus 1</t>
  </si>
  <si>
    <t>Squamate dependoparvovirus 1</t>
  </si>
  <si>
    <t>Erythroparvovirus</t>
  </si>
  <si>
    <t>Primate erythroparvovirus 1</t>
  </si>
  <si>
    <t>Primate erythroparvovirus 2</t>
  </si>
  <si>
    <t>Primate erythroparvovirus 3</t>
  </si>
  <si>
    <t>Primate erythroparvovirus 4</t>
  </si>
  <si>
    <t>Rodent erythroparvovirus 1</t>
  </si>
  <si>
    <t>Ungulate erythroparvovirus 1</t>
  </si>
  <si>
    <t>Protoparvovirus</t>
  </si>
  <si>
    <t>Carnivore protoparvovirus 1</t>
  </si>
  <si>
    <t>Primate protoparvovirus 1</t>
  </si>
  <si>
    <t>Rodent protoparvovirus 1</t>
  </si>
  <si>
    <t>Rodent protoparvovirus 2</t>
  </si>
  <si>
    <t>Ungulate protoparvovirus 1</t>
  </si>
  <si>
    <t>Tetraparvovirus</t>
  </si>
  <si>
    <t>Chiropteran tetraparvovirus 1</t>
  </si>
  <si>
    <t>Primate tetraparvovirus 1</t>
  </si>
  <si>
    <t>Ungulate tetraparvovirus 1</t>
  </si>
  <si>
    <t>Ungulate tetraparvovirus 2</t>
  </si>
  <si>
    <t>Ungulate tetraparvovirus 3</t>
  </si>
  <si>
    <t>Ungulate tetraparvovirus 4</t>
  </si>
  <si>
    <t>Rose yellow mosaic virus</t>
  </si>
  <si>
    <t>Spiraviridae</t>
  </si>
  <si>
    <t>Alphaspiravirus</t>
  </si>
  <si>
    <t>Aeropyrum coil-shaped virus</t>
  </si>
  <si>
    <t>Eilat virus</t>
  </si>
  <si>
    <t>Leishmania RNA virus 1</t>
  </si>
  <si>
    <t>Leishmania RNA virus 2</t>
  </si>
  <si>
    <t>Scheffersomyces segobiensis virus L</t>
  </si>
  <si>
    <t>Tuber aestivum virus 1</t>
  </si>
  <si>
    <t>Xanthophyllomyces dendrorhous virus L1A</t>
  </si>
  <si>
    <t>Xanthophyllomyces dendrorhous virus L1B</t>
  </si>
  <si>
    <t>Trichomonas vaginalis virus 4</t>
  </si>
  <si>
    <t>Aspergillus foetidus slow virus 1</t>
  </si>
  <si>
    <t>Beauveria bassiana victorivirus 1</t>
  </si>
  <si>
    <t>Magnaporthe oryzae virus 2</t>
  </si>
  <si>
    <t>Rosellinia necatrix victorivirus 1</t>
  </si>
  <si>
    <t>Tolypocladium cylindrosporum virus 1</t>
  </si>
  <si>
    <t>Turriviridae</t>
  </si>
  <si>
    <t>Alphaturrivirus</t>
  </si>
  <si>
    <t>Sulfolobus turreted icosahedral virus 1</t>
  </si>
  <si>
    <t>Sulfolobus turreted icosahedral virus 2</t>
  </si>
  <si>
    <t>Higrevirus</t>
  </si>
  <si>
    <t>Hibiscus green spot virus 2</t>
  </si>
  <si>
    <t>Pea enation mosaic virus 2</t>
  </si>
  <si>
    <t>Eucampyvirinae</t>
  </si>
  <si>
    <t>Sierra Nevada nyavirus</t>
  </si>
  <si>
    <t>Avihepatovirus A</t>
  </si>
  <si>
    <t>Cardiovirus A</t>
  </si>
  <si>
    <t>Cardiovirus B</t>
  </si>
  <si>
    <t>Cardiovirus C</t>
  </si>
  <si>
    <t>Erbovirus A</t>
  </si>
  <si>
    <t>Hepatovirus A</t>
  </si>
  <si>
    <t>Kunsagivirus</t>
  </si>
  <si>
    <t>Kunsagivirus A</t>
  </si>
  <si>
    <t>Parechovirus A</t>
  </si>
  <si>
    <t>Parechovirus B</t>
  </si>
  <si>
    <t>Sakobuvirus</t>
  </si>
  <si>
    <t>Sakobuvirus A</t>
  </si>
  <si>
    <t>Sapelovirus A</t>
  </si>
  <si>
    <t>Sapelovirus B</t>
  </si>
  <si>
    <t>Senecavirus A</t>
  </si>
  <si>
    <t>Sicinivirus</t>
  </si>
  <si>
    <t>Sicinivirus A</t>
  </si>
  <si>
    <t>Teschovirus A</t>
  </si>
  <si>
    <t>Tremovirus A</t>
  </si>
  <si>
    <t>Lettuce necrotic leaf curl virus</t>
  </si>
  <si>
    <t>Mammarenavirus</t>
  </si>
  <si>
    <t>Allpahuayo mammarenavirus</t>
  </si>
  <si>
    <t>Bear Canyon mammarenavirus</t>
  </si>
  <si>
    <t>Chapare mammarenavirus</t>
  </si>
  <si>
    <t>Cupixi mammarenavirus</t>
  </si>
  <si>
    <t>Flexal mammarenavirus</t>
  </si>
  <si>
    <t>Guanarito mammarenavirus</t>
  </si>
  <si>
    <t>Ippy mammarenavirus</t>
  </si>
  <si>
    <t>Lassa mammarenavirus</t>
  </si>
  <si>
    <t>Latino mammarenavirus</t>
  </si>
  <si>
    <t>Lujo mammarenavirus</t>
  </si>
  <si>
    <t>Luna mammarenavirus</t>
  </si>
  <si>
    <t>Lunk mammarenavirus</t>
  </si>
  <si>
    <t>Lymphocytic choriomeningitis mammarenavirus</t>
  </si>
  <si>
    <t>Machupo mammarenavirus</t>
  </si>
  <si>
    <t>Merino Walk mammarenavirus</t>
  </si>
  <si>
    <t>Mobala mammarenavirus</t>
  </si>
  <si>
    <t>Mopeia mammarenavirus</t>
  </si>
  <si>
    <t>Oliveros mammarenavirus</t>
  </si>
  <si>
    <t>Pirital mammarenavirus</t>
  </si>
  <si>
    <t>Tacaribe mammarenavirus</t>
  </si>
  <si>
    <t>Tamiami mammarenavirus</t>
  </si>
  <si>
    <t>Whitewater Arroyo mammarenavirus</t>
  </si>
  <si>
    <t>Reptarenavirus</t>
  </si>
  <si>
    <t>Banana streak IM virus</t>
  </si>
  <si>
    <t>Banana streak UA virus</t>
  </si>
  <si>
    <t>Banana streak UI virus</t>
  </si>
  <si>
    <t>Banana streak UL virus</t>
  </si>
  <si>
    <t>Banana streak UM virus</t>
  </si>
  <si>
    <t>Fig badnavirus 1</t>
  </si>
  <si>
    <t>Pagoda yellow mosaic associated virus</t>
  </si>
  <si>
    <t>Soybean Putnam virus</t>
  </si>
  <si>
    <t>Rosadnavirus</t>
  </si>
  <si>
    <t>Rose yellow vein virus</t>
  </si>
  <si>
    <t>Orthohepevirus</t>
  </si>
  <si>
    <t>Orthohepevirus A</t>
  </si>
  <si>
    <t>Orthohepevirus B</t>
  </si>
  <si>
    <t>Orthohepevirus C</t>
  </si>
  <si>
    <t>Orthohepevirus D</t>
  </si>
  <si>
    <t>Piscihepevirus</t>
  </si>
  <si>
    <t>Piscihepevirus A</t>
  </si>
  <si>
    <t>Helicobasidium mompa partitivirus V70</t>
  </si>
  <si>
    <t>Heterobasidion partitivirus 1</t>
  </si>
  <si>
    <t>Heterobasidion partitivirus 3</t>
  </si>
  <si>
    <t>Heterobasidion partitivirus 2</t>
  </si>
  <si>
    <t>Heterobasidion partitivirus 8</t>
  </si>
  <si>
    <t>Heterobasidion partitivirus P</t>
  </si>
  <si>
    <t>Dahlia latent viroid</t>
  </si>
  <si>
    <t>Bidens mosaic virus</t>
  </si>
  <si>
    <t>Blue squill virus A</t>
  </si>
  <si>
    <t>Brugmansia mosaic virus</t>
  </si>
  <si>
    <t>Calla lily latent virus</t>
  </si>
  <si>
    <t>Cyrtanthus elatus virus A</t>
  </si>
  <si>
    <t>Habenaria mosaic virus</t>
  </si>
  <si>
    <t>Keunjorong mosaic virus</t>
  </si>
  <si>
    <t>Lupinus mosaic virus</t>
  </si>
  <si>
    <t>Panax virus Y</t>
  </si>
  <si>
    <t>Tomato necrotic stunt virus</t>
  </si>
  <si>
    <t>Verbena virus Y</t>
  </si>
  <si>
    <t>Zucchini tigre mosaic virus</t>
  </si>
  <si>
    <t>Tall oatgrass mosaic virus</t>
  </si>
  <si>
    <t>Demodema bonariensis entomopoxvirus</t>
  </si>
  <si>
    <t>Figulus sublaevis entomopoxvirus</t>
  </si>
  <si>
    <t>Acrobasis zelleri entomopoxvirus</t>
  </si>
  <si>
    <t>Adoxophyes honmai entomopoxvirus</t>
  </si>
  <si>
    <t>Amsacta moorei entomopoxvirus</t>
  </si>
  <si>
    <t>Arphia conspersa entomopoxvirus</t>
  </si>
  <si>
    <t>Choristoneura biennis entomopoxvirus</t>
  </si>
  <si>
    <t>Choristoneura conflicta entomopoxvirus</t>
  </si>
  <si>
    <t>Choristoneura diversuma entomopoxvirus</t>
  </si>
  <si>
    <t>Choristoneura fumiferana entomopoxvirus</t>
  </si>
  <si>
    <t>Choristoneura rosaceana entomopoxvirus</t>
  </si>
  <si>
    <t>Chorizagrotis auxiliaris entomopoxvirus</t>
  </si>
  <si>
    <t>Heliothis armigera entomopoxvirus</t>
  </si>
  <si>
    <t>Locusta migratoria entomopoxvirus</t>
  </si>
  <si>
    <t>Mythimna separata entomopoxvirus</t>
  </si>
  <si>
    <t>Oedaleus senegalensis entomopoxvirus</t>
  </si>
  <si>
    <t>Operophtera brumata entomopoxvirus</t>
  </si>
  <si>
    <t>Schistocerca gregaria entomopoxvirus</t>
  </si>
  <si>
    <t>Goeldichironomus holoprasinus entomopoxvirus</t>
  </si>
  <si>
    <t>Rotavirus F</t>
  </si>
  <si>
    <t>Rotavirus G</t>
  </si>
  <si>
    <t>Rotavirus H</t>
  </si>
  <si>
    <t>Sphaerolipoviridae</t>
  </si>
  <si>
    <t>Alphasphaerolipovirus</t>
  </si>
  <si>
    <t>Haloarcula hispanica icosahedral virus 2</t>
  </si>
  <si>
    <t>Betasphaerolipovirus</t>
  </si>
  <si>
    <t>Gammasphaerolipovirus</t>
  </si>
  <si>
    <t>Thin paspalum asymptomatic virus</t>
  </si>
  <si>
    <t>Elderberry latent virus</t>
  </si>
  <si>
    <t>Pelargonium chlorotic ring pattern virus</t>
  </si>
  <si>
    <t>Pelargonium ringspot virus</t>
  </si>
  <si>
    <t>Rosa rugosa leaf distortion virus</t>
  </si>
  <si>
    <t>Trailing lespedeza virus 1</t>
  </si>
  <si>
    <t>Tomato mottle mosaic virus</t>
  </si>
  <si>
    <t>Yellow tailflower mild mottle virus</t>
  </si>
  <si>
    <t>Haloarcula hispanica virus PH1</t>
  </si>
  <si>
    <t>Haloarcula hispanica virus SH1</t>
  </si>
  <si>
    <t>Natrinema virus SNJ1</t>
  </si>
  <si>
    <t>Mosso das Pedras virus</t>
  </si>
  <si>
    <t>Genome Composition</t>
  </si>
  <si>
    <t>Type Species?</t>
  </si>
  <si>
    <t>Taxon History URL</t>
  </si>
  <si>
    <t>Last Change</t>
  </si>
  <si>
    <t>Spiraea yellow leafspot virus</t>
  </si>
  <si>
    <t>Arabidopsis thaliana evelknievel virus</t>
  </si>
  <si>
    <t>Campylobacter virus CP220</t>
  </si>
  <si>
    <t>Campylobacter virus CPt10</t>
  </si>
  <si>
    <t>Campylobacter virus IBB35</t>
  </si>
  <si>
    <t>Campylobacter virus CP81</t>
  </si>
  <si>
    <t>Campylobacter virus CPX</t>
  </si>
  <si>
    <t>Campylobacter virus NCTC12673</t>
  </si>
  <si>
    <t>Aeromonas virus phiO18P</t>
  </si>
  <si>
    <t>Haemophilus virus HP1</t>
  </si>
  <si>
    <t>Haemophilus virus HP2</t>
  </si>
  <si>
    <t>Pasteurella virus F108</t>
  </si>
  <si>
    <t>Vibrio virus K139</t>
  </si>
  <si>
    <t>Vibrio virus Kappa</t>
  </si>
  <si>
    <t>Burkholderia virus phi52237</t>
  </si>
  <si>
    <t>Burkholderia virus phiE122</t>
  </si>
  <si>
    <t>Burkholderia virus phiE202</t>
  </si>
  <si>
    <t>Escherichia virus 186</t>
  </si>
  <si>
    <t>Escherichia virus P2</t>
  </si>
  <si>
    <t>Escherichia virus Wphi</t>
  </si>
  <si>
    <t>Pseudomonas virus phiCTX</t>
  </si>
  <si>
    <t>Ralstonia virus RSA1</t>
  </si>
  <si>
    <t>Salmonella virus Fels2</t>
  </si>
  <si>
    <t>Salmonella virus PsP3</t>
  </si>
  <si>
    <t>Salmonella virus SopEphi</t>
  </si>
  <si>
    <t>Yersinia virus L413C</t>
  </si>
  <si>
    <t>Kayvirus</t>
  </si>
  <si>
    <t>Staphylococcus virus G1</t>
  </si>
  <si>
    <t>Staphylococcus virus G15</t>
  </si>
  <si>
    <t>Staphylococcus virus JD7</t>
  </si>
  <si>
    <t>Staphylococcus virus K</t>
  </si>
  <si>
    <t>Staphylococcus virus MCE2014</t>
  </si>
  <si>
    <t>Staphylococcus virus P108</t>
  </si>
  <si>
    <t>Staphylococcus virus S253</t>
  </si>
  <si>
    <t>Staphylococcus virus SA12</t>
  </si>
  <si>
    <t>Listeria virus A511</t>
  </si>
  <si>
    <t>Listeria virus P100</t>
  </si>
  <si>
    <t>Silviavirus</t>
  </si>
  <si>
    <t>Staphylococcus virus Remus</t>
  </si>
  <si>
    <t>Staphylococcus virus SA11</t>
  </si>
  <si>
    <t>Bacillus virus SPO1</t>
  </si>
  <si>
    <t>Twortvirus</t>
  </si>
  <si>
    <t>Staphylococcus virus Twort</t>
  </si>
  <si>
    <t>Lactobacillus virus LP65</t>
  </si>
  <si>
    <t>Enterobacter virus PG7</t>
  </si>
  <si>
    <t>Escherichia virus Bp7</t>
  </si>
  <si>
    <t>Escherichia virus IME08</t>
  </si>
  <si>
    <t>Escherichia virus JS10</t>
  </si>
  <si>
    <t>Escherichia virus JS98</t>
  </si>
  <si>
    <t>Escherichia virus VR5</t>
  </si>
  <si>
    <t>Escherichia virus phi1</t>
  </si>
  <si>
    <t>Escherichia virus RB49</t>
  </si>
  <si>
    <t>Escherichia virus HX01</t>
  </si>
  <si>
    <t>Escherichia virus JS09</t>
  </si>
  <si>
    <t>Escherichia virus RB69</t>
  </si>
  <si>
    <t>Shigella virus UTAM</t>
  </si>
  <si>
    <t>Salmonella virus S16</t>
  </si>
  <si>
    <t>Salmonella virus STML198</t>
  </si>
  <si>
    <t>Vibrio virus KVP40</t>
  </si>
  <si>
    <t>Vibrio virus nt1</t>
  </si>
  <si>
    <t>Vibrio virus ValKK3</t>
  </si>
  <si>
    <t>Escherichia virus VR7</t>
  </si>
  <si>
    <t>Escherichia virus VR20</t>
  </si>
  <si>
    <t>Escherichia virus VR25</t>
  </si>
  <si>
    <t>Escherichia virus VR26</t>
  </si>
  <si>
    <t>Shigella virus SP18</t>
  </si>
  <si>
    <t>Escherichia virus AR1</t>
  </si>
  <si>
    <t>Escherichia virus C40</t>
  </si>
  <si>
    <t>Escherichia virus E112</t>
  </si>
  <si>
    <t>Escherichia virus ECML134</t>
  </si>
  <si>
    <t>Escherichia virus Ime09</t>
  </si>
  <si>
    <t>Escherichia virus RB3</t>
  </si>
  <si>
    <t>Escherichia virus RB14</t>
  </si>
  <si>
    <t>Escherichia virus T4</t>
  </si>
  <si>
    <t>Shigella virus Pss1</t>
  </si>
  <si>
    <t>Shigella virus Shfl2</t>
  </si>
  <si>
    <t>Yersinia virus D1</t>
  </si>
  <si>
    <t>Yersinia virus PST</t>
  </si>
  <si>
    <t>Acinetobacter virus 133</t>
  </si>
  <si>
    <t>Aeromonas virus 65</t>
  </si>
  <si>
    <t>Aeromonas virus Aeh1</t>
  </si>
  <si>
    <t>Escherichia virus RB16</t>
  </si>
  <si>
    <t>Escherichia virus RB32</t>
  </si>
  <si>
    <t>Escherichia virus RB43</t>
  </si>
  <si>
    <t>Pseudomonas virus 42</t>
  </si>
  <si>
    <t>Vequintavirinae</t>
  </si>
  <si>
    <t>Cronobacter virus CR3</t>
  </si>
  <si>
    <t>Cronobacter virus CR8</t>
  </si>
  <si>
    <t>Cronobacter virus CR9</t>
  </si>
  <si>
    <t>Cronobacter virus GAP31</t>
  </si>
  <si>
    <t>Escherichia virus 4MG</t>
  </si>
  <si>
    <t>Salmonella virus SSE121</t>
  </si>
  <si>
    <t>Escherichia virus FFH2</t>
  </si>
  <si>
    <t>Escherichia virus FV3</t>
  </si>
  <si>
    <t>Escherichia virus JES2013</t>
  </si>
  <si>
    <t>Escherichia virus V5</t>
  </si>
  <si>
    <t>Agatevirus</t>
  </si>
  <si>
    <t>Bacillus virus Agate</t>
  </si>
  <si>
    <t>Bacillus virus Bobb</t>
  </si>
  <si>
    <t>Bacillus virus Bp8pC</t>
  </si>
  <si>
    <t>Acinetobacter virus AB1</t>
  </si>
  <si>
    <t>Acinetobacter virus AB2</t>
  </si>
  <si>
    <t>Acinetobacter virus AbC62</t>
  </si>
  <si>
    <t>Acinetobacter virus AP22</t>
  </si>
  <si>
    <t>Bacillus virus B4</t>
  </si>
  <si>
    <t>Bacillus virus Bigbertha</t>
  </si>
  <si>
    <t>Bacillus virus Riley</t>
  </si>
  <si>
    <t>Bacillus virus Spock</t>
  </si>
  <si>
    <t>Bacillus virus Troll</t>
  </si>
  <si>
    <t>Bastillevirus</t>
  </si>
  <si>
    <t>Bacillus virus Bastille</t>
  </si>
  <si>
    <t>Bacillus virus CAM003</t>
  </si>
  <si>
    <t>Bacillus virus Bc431</t>
  </si>
  <si>
    <t>Bacillus virus Bcp1</t>
  </si>
  <si>
    <t>Bacillus virus BCP82</t>
  </si>
  <si>
    <t>Bacillus virus JBP901</t>
  </si>
  <si>
    <t>Burkholderia virus Bcep1</t>
  </si>
  <si>
    <t>Burkholderia virus Bcep43</t>
  </si>
  <si>
    <t>Burkholderia virus Bcep781</t>
  </si>
  <si>
    <t>Burkholderia virus BcepNY3</t>
  </si>
  <si>
    <t>Xanthomonas virus OP2</t>
  </si>
  <si>
    <t>Bcepmuvirus</t>
  </si>
  <si>
    <t>Burkholderia virus BcepMu</t>
  </si>
  <si>
    <t>Burkholderia virus phiE255</t>
  </si>
  <si>
    <t>Biquartavirus</t>
  </si>
  <si>
    <t>Aeromonas virus 44RR2</t>
  </si>
  <si>
    <t>Mycobacterium virus I3</t>
  </si>
  <si>
    <t>Clostridium virus phiC2</t>
  </si>
  <si>
    <t>Clostridium virus phiCD27</t>
  </si>
  <si>
    <t>Clostridium virus phiCD119</t>
  </si>
  <si>
    <t>Bacillus virus CP51</t>
  </si>
  <si>
    <t>Bacillus virus JL</t>
  </si>
  <si>
    <t>Bacillus virus Shanette</t>
  </si>
  <si>
    <t>Escherichia virus CVM10</t>
  </si>
  <si>
    <t>Escherichia virus ep3</t>
  </si>
  <si>
    <t>Erwinia virus Ea214</t>
  </si>
  <si>
    <t>Escherichia virus AYO145A</t>
  </si>
  <si>
    <t>Escherichia virus EC6</t>
  </si>
  <si>
    <t>Escherichia virus JH2</t>
  </si>
  <si>
    <t>Escherichia virus VpaE1</t>
  </si>
  <si>
    <t>Escherichia virus wV8</t>
  </si>
  <si>
    <t>Salmonella virus FelixO1</t>
  </si>
  <si>
    <t>Salmonella virus HB2014</t>
  </si>
  <si>
    <t>Salmonella virus Mushroom</t>
  </si>
  <si>
    <t>Salmonella virus UAB87</t>
  </si>
  <si>
    <t>Hapunavirus</t>
  </si>
  <si>
    <t>Halomonas virus HAP1</t>
  </si>
  <si>
    <t>Vibrio virus VP882</t>
  </si>
  <si>
    <t>Pseudomonas virus Ab03</t>
  </si>
  <si>
    <t>Pseudomonas virus KPP10</t>
  </si>
  <si>
    <t>Pseudomonas virus PAKP3</t>
  </si>
  <si>
    <t>Muvirus</t>
  </si>
  <si>
    <t>Escherichia virus Mu</t>
  </si>
  <si>
    <t>Myohalovirus</t>
  </si>
  <si>
    <t>Halobacterium virus phiH</t>
  </si>
  <si>
    <t>Bacillus virus Grass</t>
  </si>
  <si>
    <t>Bacillus virus NIT1</t>
  </si>
  <si>
    <t>Bacillus virus SPG24</t>
  </si>
  <si>
    <t>Aeromonas virus 43</t>
  </si>
  <si>
    <t>Escherichia virus P1</t>
  </si>
  <si>
    <t>Pakpunavirus</t>
  </si>
  <si>
    <t>Pseudomonas virus CAb1</t>
  </si>
  <si>
    <t>Pseudomonas virus CAb02</t>
  </si>
  <si>
    <t>Pseudomonas virus JG004</t>
  </si>
  <si>
    <t>Pseudomonas virus PAKP1</t>
  </si>
  <si>
    <t>Pseudomonas virus PAKP4</t>
  </si>
  <si>
    <t>Pseudomonas virus PaP1</t>
  </si>
  <si>
    <t>Pbunavirus</t>
  </si>
  <si>
    <t>Burkholderia virus BcepF1</t>
  </si>
  <si>
    <t>Pseudomonas virus 141</t>
  </si>
  <si>
    <t>Pseudomonas virus Ab28</t>
  </si>
  <si>
    <t>Pseudomonas virus DL60</t>
  </si>
  <si>
    <t>Pseudomonas virus DL68</t>
  </si>
  <si>
    <t>Pseudomonas virus F8</t>
  </si>
  <si>
    <t>Pseudomonas virus JG024</t>
  </si>
  <si>
    <t>Pseudomonas virus KPP12</t>
  </si>
  <si>
    <t>Pseudomonas virus LBL3</t>
  </si>
  <si>
    <t>Pseudomonas virus LMA2</t>
  </si>
  <si>
    <t>Pseudomonas virus PB1</t>
  </si>
  <si>
    <t>Pseudomonas virus SN</t>
  </si>
  <si>
    <t>Phikzvirus</t>
  </si>
  <si>
    <t>Pseudomonas virus EL</t>
  </si>
  <si>
    <t>Pseudomonas virus phiKZ</t>
  </si>
  <si>
    <t>Rhizobium virus RHEph4</t>
  </si>
  <si>
    <t>Aeromonas virus 25</t>
  </si>
  <si>
    <t>Aeromonas virus Aes12</t>
  </si>
  <si>
    <t>Aeromonas virus Aes508</t>
  </si>
  <si>
    <t>Aeromonas virus AS4</t>
  </si>
  <si>
    <t>Stenotrophomonas virus IME13</t>
  </si>
  <si>
    <t>Yersinia virus R1RT</t>
  </si>
  <si>
    <t>Yersinia virus TG1</t>
  </si>
  <si>
    <t>Bacillus virus G</t>
  </si>
  <si>
    <t>Bacillus virus PBS1</t>
  </si>
  <si>
    <t>Microcystis virus Ma-LMM01</t>
  </si>
  <si>
    <t>Vhmlvirus</t>
  </si>
  <si>
    <t>Vibrio virus MAR</t>
  </si>
  <si>
    <t>Vibrio virus VHML</t>
  </si>
  <si>
    <t>Vibrio virus VP585</t>
  </si>
  <si>
    <t>Dickeya virus Limestone</t>
  </si>
  <si>
    <t>Escherichia virus CBA120</t>
  </si>
  <si>
    <t>Escherichia virus ECML4</t>
  </si>
  <si>
    <t>Escherichia virus PhaxI</t>
  </si>
  <si>
    <t>Salmonella virus Det7</t>
  </si>
  <si>
    <t>Salmonella virus Marshall</t>
  </si>
  <si>
    <t>Salmonella virus Maynard</t>
  </si>
  <si>
    <t>Salmonella virus SFP10</t>
  </si>
  <si>
    <t>Salmonella virus SH19</t>
  </si>
  <si>
    <t>Salmonella virus SJ2</t>
  </si>
  <si>
    <t>Salmonella virus SJ3</t>
  </si>
  <si>
    <t>Salmonella virus STML131</t>
  </si>
  <si>
    <t>Salmonella virus ViI</t>
  </si>
  <si>
    <t>Shigella virus AG3</t>
  </si>
  <si>
    <t>Wphvirus</t>
  </si>
  <si>
    <t>Bacillus virus WPh</t>
  </si>
  <si>
    <t>Klebsiella virus F19</t>
  </si>
  <si>
    <t>Klebsiella virus K244</t>
  </si>
  <si>
    <t>Klebsiella virus KP34</t>
  </si>
  <si>
    <t>Klebsiella virus SU503</t>
  </si>
  <si>
    <t>Klebsiella virus SU552A</t>
  </si>
  <si>
    <t>Phikmvvirus</t>
  </si>
  <si>
    <t>Pantoea virus Limelight</t>
  </si>
  <si>
    <t>Pantoea virus Limezero</t>
  </si>
  <si>
    <t>Pseudomonas virus LKA1</t>
  </si>
  <si>
    <t>Pseudomonas virus phiKMV</t>
  </si>
  <si>
    <t>Erwinia virus Era103</t>
  </si>
  <si>
    <t>Escherichia virus K5</t>
  </si>
  <si>
    <t>Escherichia virus K1-5</t>
  </si>
  <si>
    <t>Escherichia virus K1E</t>
  </si>
  <si>
    <t>Salmonella virus SP6</t>
  </si>
  <si>
    <t>Escherichia virus T7</t>
  </si>
  <si>
    <t>Kluyvera virus Kvp1</t>
  </si>
  <si>
    <t>Pseudomonas virus gh1</t>
  </si>
  <si>
    <t>Prochlorococcus virus PSSP7</t>
  </si>
  <si>
    <t>Synechococcus virus P60</t>
  </si>
  <si>
    <t>Synechococcus virus Syn5</t>
  </si>
  <si>
    <t>Staphylococcus virus 44AHJD</t>
  </si>
  <si>
    <t>Streptococcus virus C1</t>
  </si>
  <si>
    <t>Bacillus virus B103</t>
  </si>
  <si>
    <t>Bacillus virus GA1</t>
  </si>
  <si>
    <t>Bacillus virus phi29</t>
  </si>
  <si>
    <t>Kurthia virus 6</t>
  </si>
  <si>
    <t>Actinomyces virus Av1</t>
  </si>
  <si>
    <t>Mycoplasma virus P1</t>
  </si>
  <si>
    <t>Streptococcus virus Cp1</t>
  </si>
  <si>
    <t>Burkholderia virus Bcep22</t>
  </si>
  <si>
    <t>Burkholderia virus Bcepil02</t>
  </si>
  <si>
    <t>Burkholderia virus Bcepmigl</t>
  </si>
  <si>
    <t>Burkholderia virus DC1</t>
  </si>
  <si>
    <t>Bordetella virus BPP1</t>
  </si>
  <si>
    <t>Burkholderia virus BcepC6B</t>
  </si>
  <si>
    <t>Cellulophaga virus Cba41</t>
  </si>
  <si>
    <t>Cellulophaga virus Cba172</t>
  </si>
  <si>
    <t>Escherichia virus phiV10</t>
  </si>
  <si>
    <t>Salmonella virus Epsilon15</t>
  </si>
  <si>
    <t>Pseudomonas virus F116</t>
  </si>
  <si>
    <t>Pseudomonas virus H66</t>
  </si>
  <si>
    <t>Mycobacterium virus Ff47</t>
  </si>
  <si>
    <t>Mycobacterium virus Muddy</t>
  </si>
  <si>
    <t>Escherichia virus APEC5</t>
  </si>
  <si>
    <t>Escherichia virus APEC7</t>
  </si>
  <si>
    <t>Escherichia virus Bp4</t>
  </si>
  <si>
    <t>Escherichia virus EC1UPM</t>
  </si>
  <si>
    <t>Escherichia virus ECBP1</t>
  </si>
  <si>
    <t>Escherichia virus G7C</t>
  </si>
  <si>
    <t>Escherichia virus IME11</t>
  </si>
  <si>
    <t>Shigella virus Sb1</t>
  </si>
  <si>
    <t>Pseudomonas virus Ab09</t>
  </si>
  <si>
    <t>Pseudomonas virus LIT1</t>
  </si>
  <si>
    <t>Pseudomonas virus PA26</t>
  </si>
  <si>
    <t>Pseudomonas virus Ab22</t>
  </si>
  <si>
    <t>Pseudomonas virus CHU</t>
  </si>
  <si>
    <t>Pseudomonas virus LUZ24</t>
  </si>
  <si>
    <t>Pseudomonas virus PAA2</t>
  </si>
  <si>
    <t>Pseudomonas virus PaP3</t>
  </si>
  <si>
    <t>Pseudomonas virus PaP4</t>
  </si>
  <si>
    <t>Pseudomonas virus TL</t>
  </si>
  <si>
    <t>Escherichia virus N4</t>
  </si>
  <si>
    <t>Nonanavirus</t>
  </si>
  <si>
    <t>Salmonella virus 9NA</t>
  </si>
  <si>
    <t>Salmonella virus SP069</t>
  </si>
  <si>
    <t>Salmonella virus HK620</t>
  </si>
  <si>
    <t>Salmonella virus P22</t>
  </si>
  <si>
    <t>Salmonella virus ST64T</t>
  </si>
  <si>
    <t>Shigella virus Sf6</t>
  </si>
  <si>
    <t>Pagevirus</t>
  </si>
  <si>
    <t>Bacillus virus Page</t>
  </si>
  <si>
    <t>Bacillus virus Palmer</t>
  </si>
  <si>
    <t>Bacillus virus Pascal</t>
  </si>
  <si>
    <t>Bacillus virus Pony</t>
  </si>
  <si>
    <t>Bacillus virus Pookie</t>
  </si>
  <si>
    <t>Escherichia virus ECB2</t>
  </si>
  <si>
    <t>Escherichia virus NJ01</t>
  </si>
  <si>
    <t>Escherichia virus phiEco32</t>
  </si>
  <si>
    <t>Escherichia virus Septima11</t>
  </si>
  <si>
    <t>Escherichia virus SU10</t>
  </si>
  <si>
    <t>Hamiltonella virus APSE1</t>
  </si>
  <si>
    <t>Lactococcus virus KSY1</t>
  </si>
  <si>
    <t>Phormidium virus WMP3</t>
  </si>
  <si>
    <t>Phormidium virus WMP4</t>
  </si>
  <si>
    <t>Pseudomonas virus 119X</t>
  </si>
  <si>
    <t>Roseobacter virus SIO1</t>
  </si>
  <si>
    <t>Vibrio virus VpV262</t>
  </si>
  <si>
    <t>Vibrio virus VC8</t>
  </si>
  <si>
    <t>Vibrio virus VP2</t>
  </si>
  <si>
    <t>Vibrio virus VP5</t>
  </si>
  <si>
    <t>Guernseyvirinae</t>
  </si>
  <si>
    <t>Jerseyvirus</t>
  </si>
  <si>
    <t>Salmonella virus AG11</t>
  </si>
  <si>
    <t>Salmonella virus Ent1</t>
  </si>
  <si>
    <t>Salmonella virus Jersey</t>
  </si>
  <si>
    <t>Salmonella virus SE2</t>
  </si>
  <si>
    <t>Salmonella virus SETP3</t>
  </si>
  <si>
    <t>Salmonella virus SETP7</t>
  </si>
  <si>
    <t>Salmonella virus SETP13</t>
  </si>
  <si>
    <t>Salmonella virus SP101</t>
  </si>
  <si>
    <t>Salmonella virus SS3e</t>
  </si>
  <si>
    <t>Salmonella virus wksl3</t>
  </si>
  <si>
    <t>Escherichia virus K1G</t>
  </si>
  <si>
    <t>Escherichia virus K1H</t>
  </si>
  <si>
    <t>Escherichia virus K1ind1</t>
  </si>
  <si>
    <t>Escherichia virus K1ind2</t>
  </si>
  <si>
    <t>Salmonella virus SP31</t>
  </si>
  <si>
    <t>Tunavirinae</t>
  </si>
  <si>
    <t>Enterobacter virus F20</t>
  </si>
  <si>
    <t>Klebsiella virus 1513</t>
  </si>
  <si>
    <t>Klebsiella virus KP36</t>
  </si>
  <si>
    <t>Escherichia virus AHP42</t>
  </si>
  <si>
    <t>Escherichia virus AHS24</t>
  </si>
  <si>
    <t>Escherichia virus AKS96</t>
  </si>
  <si>
    <t>Escherichia virus E41c</t>
  </si>
  <si>
    <t>Escherichia virus Eb49</t>
  </si>
  <si>
    <t>Escherichia virus Jk06</t>
  </si>
  <si>
    <t>Escherichia virus KP26</t>
  </si>
  <si>
    <t>Escherichia virus Rogue1</t>
  </si>
  <si>
    <t>Rtpvirus</t>
  </si>
  <si>
    <t>Escherichia virus ACGM12</t>
  </si>
  <si>
    <t>Escherichia virus Rtp</t>
  </si>
  <si>
    <t>Escherichia virus ADB2</t>
  </si>
  <si>
    <t>Escherichia virus T1</t>
  </si>
  <si>
    <t>Shigella virus PSf2</t>
  </si>
  <si>
    <t>Shigella virus Shfl1</t>
  </si>
  <si>
    <t>Tlsvirus</t>
  </si>
  <si>
    <t>Citrobacter virus Stevie</t>
  </si>
  <si>
    <t>Escherichia virus TLS</t>
  </si>
  <si>
    <t>Salmonella virus SP126</t>
  </si>
  <si>
    <t>Cronobacter virus Esp2949-1</t>
  </si>
  <si>
    <t>Andromedavirus</t>
  </si>
  <si>
    <t>Bacillus virus Andromeda</t>
  </si>
  <si>
    <t>Bacillus virus Blastoid</t>
  </si>
  <si>
    <t>Bacillus virus Curly</t>
  </si>
  <si>
    <t>Bacillus virus Eoghan</t>
  </si>
  <si>
    <t>Bacillus virus Finn</t>
  </si>
  <si>
    <t>Bacillus virus Glittering</t>
  </si>
  <si>
    <t>Bacillus virus Riggi</t>
  </si>
  <si>
    <t>Bacillus virus Taylor</t>
  </si>
  <si>
    <t>Barnyardvirus</t>
  </si>
  <si>
    <t>Mycobacterium virus Barnyard</t>
  </si>
  <si>
    <t>Mycobacterium virus Konstantine</t>
  </si>
  <si>
    <t>Mycobacterium virus Patience</t>
  </si>
  <si>
    <t>Mycobacterium virus Predator</t>
  </si>
  <si>
    <t>Bignuzvirus</t>
  </si>
  <si>
    <t>Mycobacterium virus Bignuz</t>
  </si>
  <si>
    <t>Mycobacterium virus Jebeks</t>
  </si>
  <si>
    <t>Biseptimavirus</t>
  </si>
  <si>
    <t>Staphylococcus virus 13</t>
  </si>
  <si>
    <t>Staphylococcus virus 77</t>
  </si>
  <si>
    <t>Staphylococcus virus 108PVL</t>
  </si>
  <si>
    <t>Bronvirus</t>
  </si>
  <si>
    <t>Mycobacterium virus Bron</t>
  </si>
  <si>
    <t>Mycobacterium virus Faith1</t>
  </si>
  <si>
    <t>Mycobacterium virus Joedirt</t>
  </si>
  <si>
    <t>Mycobacterium virus Rumpelstiltskin</t>
  </si>
  <si>
    <t>Lactococcus virus bIL67</t>
  </si>
  <si>
    <t>Lactococcus virus c2</t>
  </si>
  <si>
    <t>Lactobacillus virus c5</t>
  </si>
  <si>
    <t>Lactobacillus virus LLKu</t>
  </si>
  <si>
    <t>Cellulophaga virus Cba121</t>
  </si>
  <si>
    <t>Cellulophaga virus Cba171</t>
  </si>
  <si>
    <t>Cellulophaga virus Cba181</t>
  </si>
  <si>
    <t>Cbastvirus</t>
  </si>
  <si>
    <t>Cellulophaga virus ST</t>
  </si>
  <si>
    <t>Cecivirus</t>
  </si>
  <si>
    <t>Bacillus virus 250</t>
  </si>
  <si>
    <t>Bacillus virus IEBH</t>
  </si>
  <si>
    <t>Charlievirus</t>
  </si>
  <si>
    <t>Mycobacterium virus Charlie</t>
  </si>
  <si>
    <t>Mycobacterium virus Redi</t>
  </si>
  <si>
    <t>Mycobacterium virus Ardmore</t>
  </si>
  <si>
    <t>Mycobacterium virus Avani</t>
  </si>
  <si>
    <t>Mycobacterium virus Boomer</t>
  </si>
  <si>
    <t>Mycobacterium virus Che8</t>
  </si>
  <si>
    <t>Mycobacterium virus Che9d</t>
  </si>
  <si>
    <t>Mycobacterium virus Deadp</t>
  </si>
  <si>
    <t>Mycobacterium virus Dlane</t>
  </si>
  <si>
    <t>Mycobacterium virus Dorothy</t>
  </si>
  <si>
    <t>Mycobacterium virus Dotproduct</t>
  </si>
  <si>
    <t>Mycobacterium virus Drago</t>
  </si>
  <si>
    <t>Mycobacterium virus Fruitloop</t>
  </si>
  <si>
    <t>Mycobacterium virus Gumbie</t>
  </si>
  <si>
    <t>Mycobacterium virus Ibhubesi</t>
  </si>
  <si>
    <t>Mycobacterium virus Llij</t>
  </si>
  <si>
    <t>Mycobacterium virus Mozy</t>
  </si>
  <si>
    <t>Mycobacterium virus Mutaforma13</t>
  </si>
  <si>
    <t>Mycobacterium virus Pacc40</t>
  </si>
  <si>
    <t>Mycobacterium virus PMC</t>
  </si>
  <si>
    <t>Mycobacterium virus Ramsey</t>
  </si>
  <si>
    <t>Mycobacterium virus Rockyhorror</t>
  </si>
  <si>
    <t>Mycobacterium virus SG4</t>
  </si>
  <si>
    <t>Mycobacterium virus Shauna1</t>
  </si>
  <si>
    <t>Mycobacterium virus Shilan</t>
  </si>
  <si>
    <t>Mycobacterium virus Spartacus</t>
  </si>
  <si>
    <t>Mycobacterium virus Taj</t>
  </si>
  <si>
    <t>Mycobacterium virus Tweety</t>
  </si>
  <si>
    <t>Mycobacterium virus Wee</t>
  </si>
  <si>
    <t>Mycobacterium virus Yoshi</t>
  </si>
  <si>
    <t>Mycobacterium virus Babsiella</t>
  </si>
  <si>
    <t>Mycobacterium virus Brujita</t>
  </si>
  <si>
    <t>Mycobacterium virus Che9c</t>
  </si>
  <si>
    <t>Chivirus</t>
  </si>
  <si>
    <t>Salmonella virus Chi</t>
  </si>
  <si>
    <t>Salmonella virus FSLSP030</t>
  </si>
  <si>
    <t>Salmonella virus FSLSP088</t>
  </si>
  <si>
    <t>Salmonella virus iEPS5</t>
  </si>
  <si>
    <t>Salmonella virus SPN19</t>
  </si>
  <si>
    <t>Mycobacterium virus 244</t>
  </si>
  <si>
    <t>Mycobacterium virus Bask21</t>
  </si>
  <si>
    <t>Mycobacterium virus CJW1</t>
  </si>
  <si>
    <t>Mycobacterium virus Eureka</t>
  </si>
  <si>
    <t>Mycobacterium virus Kostya</t>
  </si>
  <si>
    <t>Mycobacterium virus Porky</t>
  </si>
  <si>
    <t>Mycobacterium virus Pumpkin</t>
  </si>
  <si>
    <t>Mycobacterium virus Sirduracell</t>
  </si>
  <si>
    <t>Mycobacterium virus Toto</t>
  </si>
  <si>
    <t>Corndogvirus</t>
  </si>
  <si>
    <t>Mycobacterium virus Corndog</t>
  </si>
  <si>
    <t>Mycobacterium virus Firecracker</t>
  </si>
  <si>
    <t>Pseudomonas virus D3112</t>
  </si>
  <si>
    <t>Pseudomonas virus DMS3</t>
  </si>
  <si>
    <t>Pseudomonas virus FHA0480</t>
  </si>
  <si>
    <t>Pseudomonas virus LPB1</t>
  </si>
  <si>
    <t>Pseudomonas virus MP22</t>
  </si>
  <si>
    <t>Pseudomonas virus MP29</t>
  </si>
  <si>
    <t>Pseudomonas virus MP38</t>
  </si>
  <si>
    <t>Pseudomonas virus PA1KOR</t>
  </si>
  <si>
    <t>Pseudomonas virus D3</t>
  </si>
  <si>
    <t>Pseudomonas virus PMG1</t>
  </si>
  <si>
    <t>Burkholderia virus phi6442</t>
  </si>
  <si>
    <t>Burkholderia virus phi1026b</t>
  </si>
  <si>
    <t>Burkholderia virus phiE125</t>
  </si>
  <si>
    <t>Escherichia virus HK578</t>
  </si>
  <si>
    <t>Escherichia virus JL1</t>
  </si>
  <si>
    <t>Escherichia virus SSL2009a</t>
  </si>
  <si>
    <t>Shigella virus EP23</t>
  </si>
  <si>
    <t>Sodalis virus SO1</t>
  </si>
  <si>
    <t>Mycobacterium virus Alma</t>
  </si>
  <si>
    <t>Mycobacterium virus Arturo</t>
  </si>
  <si>
    <t>Mycobacterium virus Astro</t>
  </si>
  <si>
    <t>Mycobacterium virus Backyardigan</t>
  </si>
  <si>
    <t>Mycobacterium virus Benedict</t>
  </si>
  <si>
    <t>Mycobacterium virus Bethlehem</t>
  </si>
  <si>
    <t>Mycobacterium virus Billknuckles</t>
  </si>
  <si>
    <t>Mycobacterium virus Bruns</t>
  </si>
  <si>
    <t>Mycobacterium virus Bxb1</t>
  </si>
  <si>
    <t>Mycobacterium virus Bxz2</t>
  </si>
  <si>
    <t>Mycobacterium virus Che12</t>
  </si>
  <si>
    <t>Mycobacterium virus Cuco</t>
  </si>
  <si>
    <t>Mycobacterium virus D29</t>
  </si>
  <si>
    <t>Mycobacterium virus Doom</t>
  </si>
  <si>
    <t>Mycobacterium virus Ericb</t>
  </si>
  <si>
    <t>Mycobacterium virus Euphoria</t>
  </si>
  <si>
    <t>Mycobacterium virus George</t>
  </si>
  <si>
    <t>Mycobacterium virus Gladiator</t>
  </si>
  <si>
    <t>Mycobacterium virus Goose</t>
  </si>
  <si>
    <t>Mycobacterium virus Hammer</t>
  </si>
  <si>
    <t>Mycobacterium virus Heldan</t>
  </si>
  <si>
    <t>Mycobacterium virus Jasper</t>
  </si>
  <si>
    <t>Mycobacterium virus JC27</t>
  </si>
  <si>
    <t>Mycobacterium virus Jeffabunny</t>
  </si>
  <si>
    <t>Mycobacterium virus JHC117</t>
  </si>
  <si>
    <t>Mycobacterium virus KBG</t>
  </si>
  <si>
    <t>Mycobacterium virus Kssjeb</t>
  </si>
  <si>
    <t>Mycobacterium virus Kugel</t>
  </si>
  <si>
    <t>Mycobacterium virus L5</t>
  </si>
  <si>
    <t>Mycobacterium virus Lesedi</t>
  </si>
  <si>
    <t>Mycobacterium virus LHTSCC</t>
  </si>
  <si>
    <t>Mycobacterium virus lockley</t>
  </si>
  <si>
    <t>Mycobacterium virus Marcell</t>
  </si>
  <si>
    <t>Mycobacterium virus Microwolf</t>
  </si>
  <si>
    <t>Mycobacterium virus Mrgordo</t>
  </si>
  <si>
    <t>Mycobacterium virus Museum</t>
  </si>
  <si>
    <t>Mycobacterium virus Nepal</t>
  </si>
  <si>
    <t>Mycobacterium virus Packman</t>
  </si>
  <si>
    <t>Mycobacterium virus Peaches</t>
  </si>
  <si>
    <t>Mycobacterium virus Perseus</t>
  </si>
  <si>
    <t>Mycobacterium virus Pukovnik</t>
  </si>
  <si>
    <t>Mycobacterium virus Rebeuca</t>
  </si>
  <si>
    <t>Mycobacterium virus Redrock</t>
  </si>
  <si>
    <t>Mycobacterium virus Ridgecb</t>
  </si>
  <si>
    <t>Mycobacterium virus Rockstar</t>
  </si>
  <si>
    <t>Mycobacterium virus Saintus</t>
  </si>
  <si>
    <t>Mycobacterium virus Skipole</t>
  </si>
  <si>
    <t>Mycobacterium virus Solon</t>
  </si>
  <si>
    <t>Mycobacterium virus Switzer</t>
  </si>
  <si>
    <t>Mycobacterium virus SWU1</t>
  </si>
  <si>
    <t>Mycobacterium virus Tiger</t>
  </si>
  <si>
    <t>Mycobacterium virus Timshel</t>
  </si>
  <si>
    <t>Mycobacterium virus Trixie</t>
  </si>
  <si>
    <t>Mycobacterium virus Turbido</t>
  </si>
  <si>
    <t>Mycobacterium virus Twister</t>
  </si>
  <si>
    <t>Mycobacterium virus U2</t>
  </si>
  <si>
    <t>Mycobacterium virus Violet</t>
  </si>
  <si>
    <t>Mycobacterium virus Wonder</t>
  </si>
  <si>
    <t>Rhodococcus virus RER2</t>
  </si>
  <si>
    <t>Rhodococcus virus RGL3</t>
  </si>
  <si>
    <t>Lambdavirus</t>
  </si>
  <si>
    <t>Escherichia virus HK022</t>
  </si>
  <si>
    <t>Escherichia virus HK97</t>
  </si>
  <si>
    <t>Escherichia virus Lambda</t>
  </si>
  <si>
    <t>Liefievirus</t>
  </si>
  <si>
    <t>Mycobacterium virus Halo</t>
  </si>
  <si>
    <t>Mycobacterium virus Liefie</t>
  </si>
  <si>
    <t>Escherichia virus N15</t>
  </si>
  <si>
    <t>Nonagvirus</t>
  </si>
  <si>
    <t>Escherichia virus 9g</t>
  </si>
  <si>
    <t>Escherichia virus JenK1</t>
  </si>
  <si>
    <t>Escherichia virus JenP1</t>
  </si>
  <si>
    <t>Escherichia virus JenP2</t>
  </si>
  <si>
    <t>Omegavirus</t>
  </si>
  <si>
    <t>Mycobacterium virus Baka</t>
  </si>
  <si>
    <t>Mycobacterium virus Courthouse</t>
  </si>
  <si>
    <t>Mycobacterium virus Littlee</t>
  </si>
  <si>
    <t>Mycobacterium virus Omega</t>
  </si>
  <si>
    <t>Mycobacterium virus Optimus</t>
  </si>
  <si>
    <t>Mycobacterium virus Thibault</t>
  </si>
  <si>
    <t>Thermus virus P23-45</t>
  </si>
  <si>
    <t>Thermus virus P74-26</t>
  </si>
  <si>
    <t>Listeria virus LP26</t>
  </si>
  <si>
    <t>Listeria virus LP37</t>
  </si>
  <si>
    <t>Listeria virus LP110</t>
  </si>
  <si>
    <t>Listeria virus LP114</t>
  </si>
  <si>
    <t>Listeria virus P70</t>
  </si>
  <si>
    <t>Pbi1virus</t>
  </si>
  <si>
    <t>Mycobacterium virus PBI1</t>
  </si>
  <si>
    <t>Mycobacterium virus Acadian</t>
  </si>
  <si>
    <t>Mycobacterium virus Athena</t>
  </si>
  <si>
    <t>Mycobacterium virus Chrisnmich</t>
  </si>
  <si>
    <t>Mycobacterium virus Cooper</t>
  </si>
  <si>
    <t>Mycobacterium virus Gadjet</t>
  </si>
  <si>
    <t>Mycobacterium virus Nigel</t>
  </si>
  <si>
    <t>Mycobacterium virus Oline</t>
  </si>
  <si>
    <t>Mycobacterium virus Pg1</t>
  </si>
  <si>
    <t>Mycobacterium virus Pipefish</t>
  </si>
  <si>
    <t>Mycobacterium virus Rosebush</t>
  </si>
  <si>
    <t>Mycobacterium virus Stinger</t>
  </si>
  <si>
    <t>Mycobacterium virus Zemanar</t>
  </si>
  <si>
    <t>Streptomyces virus phiBT1</t>
  </si>
  <si>
    <t>Streptomyces virus phiC31</t>
  </si>
  <si>
    <t>Streptomyces virus TG1</t>
  </si>
  <si>
    <t>Phicbkvirus</t>
  </si>
  <si>
    <t>Caulobacter virus Karma</t>
  </si>
  <si>
    <t>Caulobacter virus Magneto</t>
  </si>
  <si>
    <t>Caulobacter virus phiCbK</t>
  </si>
  <si>
    <t>Caulobacter virus Rogue</t>
  </si>
  <si>
    <t>Caulobacter virus Swift</t>
  </si>
  <si>
    <t>Phietavirus</t>
  </si>
  <si>
    <t>Staphylococcus virus 11</t>
  </si>
  <si>
    <t>Staphylococcus virus 29</t>
  </si>
  <si>
    <t>Staphylococcus virus 37</t>
  </si>
  <si>
    <t>Staphylococcus virus 53</t>
  </si>
  <si>
    <t>Staphylococcus virus 55</t>
  </si>
  <si>
    <t>Staphylococcus virus 69</t>
  </si>
  <si>
    <t>Staphylococcus virus 71</t>
  </si>
  <si>
    <t>Staphylococcus virus 80</t>
  </si>
  <si>
    <t>Staphylococcus virus 85</t>
  </si>
  <si>
    <t>Staphylococcus virus 88</t>
  </si>
  <si>
    <t>Staphylococcus virus 92</t>
  </si>
  <si>
    <t>Staphylococcus virus 96</t>
  </si>
  <si>
    <t>Staphylococcus virus 187</t>
  </si>
  <si>
    <t>Staphylococcus virus 52a</t>
  </si>
  <si>
    <t>Staphylococcus virus 80alpha</t>
  </si>
  <si>
    <t>Staphylococcus virus CNPH82</t>
  </si>
  <si>
    <t>Staphylococcus virus EW</t>
  </si>
  <si>
    <t>Staphylococcus virus IPLA5</t>
  </si>
  <si>
    <t>Staphylococcus virus IPLA7</t>
  </si>
  <si>
    <t>Staphylococcus virus IPLA88</t>
  </si>
  <si>
    <t>Staphylococcus virus PH15</t>
  </si>
  <si>
    <t>Staphylococcus virus phiETA</t>
  </si>
  <si>
    <t>Staphylococcus virus phiETA2</t>
  </si>
  <si>
    <t>Staphylococcus virus phiETA3</t>
  </si>
  <si>
    <t>Staphylococcus virus phiMR11</t>
  </si>
  <si>
    <t>Staphylococcus virus phiMR25</t>
  </si>
  <si>
    <t>Staphylococcus virus phiNM1</t>
  </si>
  <si>
    <t>Staphylococcus virus phiNM2</t>
  </si>
  <si>
    <t>Staphylococcus virus phiNM4</t>
  </si>
  <si>
    <t>Staphylococcus virus SAP26</t>
  </si>
  <si>
    <t>Staphylococcus virus X2</t>
  </si>
  <si>
    <t>Phifelvirus</t>
  </si>
  <si>
    <t>Enterococcus virus FL1</t>
  </si>
  <si>
    <t>Enterococcus virus FL2</t>
  </si>
  <si>
    <t>Enterococcus virus FL3</t>
  </si>
  <si>
    <t>Lactobacillus virus ATCC8014</t>
  </si>
  <si>
    <t>Lactobacillus virus phiJL1</t>
  </si>
  <si>
    <t>Pediococcus virus cIP1</t>
  </si>
  <si>
    <t>Psavirus</t>
  </si>
  <si>
    <t>Listeria virus LP302</t>
  </si>
  <si>
    <t>Listeria virus PSA</t>
  </si>
  <si>
    <t>Psimunavirus</t>
  </si>
  <si>
    <t>Methanobacterium virus psiM1</t>
  </si>
  <si>
    <t>Reyvirus</t>
  </si>
  <si>
    <t>Mycobacterium virus Bongo</t>
  </si>
  <si>
    <t>Mycobacterium virus Rey</t>
  </si>
  <si>
    <t>Enterococcus virus BC611</t>
  </si>
  <si>
    <t>Enterococcus virus IMEEF1</t>
  </si>
  <si>
    <t>Enterococcus virus SAP6</t>
  </si>
  <si>
    <t>Enterococcus virus VD13</t>
  </si>
  <si>
    <t>Streptococcus virus SPQS1</t>
  </si>
  <si>
    <t>Burkholderia virus KL1</t>
  </si>
  <si>
    <t>Pseudomonas virus 73</t>
  </si>
  <si>
    <t>Pseudomonas virus Ab26</t>
  </si>
  <si>
    <t>Pseudomonas virus Kakheti25</t>
  </si>
  <si>
    <t>Seuratvirus</t>
  </si>
  <si>
    <t>Escherichia virus Cajan</t>
  </si>
  <si>
    <t>Escherichia virus Seurat</t>
  </si>
  <si>
    <t>Sextaecvirus</t>
  </si>
  <si>
    <t>Staphylococcus virus SEP9</t>
  </si>
  <si>
    <t>Staphylococcus virus Sextaec</t>
  </si>
  <si>
    <t>Streptococcus virus 858</t>
  </si>
  <si>
    <t>Streptococcus virus 2972</t>
  </si>
  <si>
    <t>Streptococcus virus ALQ132</t>
  </si>
  <si>
    <t>Streptococcus virus O1205</t>
  </si>
  <si>
    <t>Streptococcus virus Sfi11</t>
  </si>
  <si>
    <t>Streptococcus virus 7201</t>
  </si>
  <si>
    <t>Streptococcus virus DT1</t>
  </si>
  <si>
    <t>Streptococcus virus phiAbc2</t>
  </si>
  <si>
    <t>Streptococcus virus Sfi19</t>
  </si>
  <si>
    <t>Streptococcus virus Sfi21</t>
  </si>
  <si>
    <t>Sitaravirus</t>
  </si>
  <si>
    <t>Paenibacillus virus Diva</t>
  </si>
  <si>
    <t>Paenibacillus virus Hb10c2</t>
  </si>
  <si>
    <t>Paenibacillus virus Rani</t>
  </si>
  <si>
    <t>Paenibacillus virus Shelly</t>
  </si>
  <si>
    <t>Paenibacillus virus Sitara</t>
  </si>
  <si>
    <t>Lactococcus virus 712</t>
  </si>
  <si>
    <t>Lactococcus virus ASCC191</t>
  </si>
  <si>
    <t>Lactococcus virus ASCC273</t>
  </si>
  <si>
    <t>Lactococcus virus ASCC281</t>
  </si>
  <si>
    <t>Lactococcus virus ASCC465</t>
  </si>
  <si>
    <t>Lactococcus virus ASCC532</t>
  </si>
  <si>
    <t>Lactococcus virus Bibb29</t>
  </si>
  <si>
    <t>Lactococcus virus bIL170</t>
  </si>
  <si>
    <t>Lactococcus virus CB13</t>
  </si>
  <si>
    <t>Lactococcus virus CB14</t>
  </si>
  <si>
    <t>Lactococcus virus CB19</t>
  </si>
  <si>
    <t>Lactococcus virus CB20</t>
  </si>
  <si>
    <t>Lactococcus virus jj50</t>
  </si>
  <si>
    <t>Lactococcus virus P2</t>
  </si>
  <si>
    <t>Lactococcus virus P008</t>
  </si>
  <si>
    <t>Lactococcus virus sk1</t>
  </si>
  <si>
    <t>Lactococcus virus Sl4</t>
  </si>
  <si>
    <t>Slashvirus</t>
  </si>
  <si>
    <t>Bacillus virus Slash</t>
  </si>
  <si>
    <t>Bacillus virus Stahl</t>
  </si>
  <si>
    <t>Bacillus virus Staley</t>
  </si>
  <si>
    <t>Bacillus virus Stills</t>
  </si>
  <si>
    <t>Spbetavirus</t>
  </si>
  <si>
    <t>Bacillus virus SPbeta</t>
  </si>
  <si>
    <t>Vibrio virus MAR10</t>
  </si>
  <si>
    <t>Vibrio virus SSP002</t>
  </si>
  <si>
    <t>Escherichia virus AKFV33</t>
  </si>
  <si>
    <t>Escherichia virus BF23</t>
  </si>
  <si>
    <t>Escherichia virus DT57C</t>
  </si>
  <si>
    <t>Escherichia virus EPS7</t>
  </si>
  <si>
    <t>Escherichia virus FFH1</t>
  </si>
  <si>
    <t>Escherichia virus H8</t>
  </si>
  <si>
    <t>Escherichia virus T5</t>
  </si>
  <si>
    <t>Salmonella virus Shivani</t>
  </si>
  <si>
    <t>Salmonella virus SPC35</t>
  </si>
  <si>
    <t>Salmonella virus Stitch</t>
  </si>
  <si>
    <t>Mycobacterium virus Anaya</t>
  </si>
  <si>
    <t>Mycobacterium virus Angelica</t>
  </si>
  <si>
    <t>Mycobacterium virus Crimd</t>
  </si>
  <si>
    <t>Mycobacterium virus Jaws</t>
  </si>
  <si>
    <t>Mycobacterium virus Larva</t>
  </si>
  <si>
    <t>Mycobacterium virus Macncheese</t>
  </si>
  <si>
    <t>Mycobacterium virus Pixie</t>
  </si>
  <si>
    <t>Mycobacterium virus TM4</t>
  </si>
  <si>
    <t>Bacillus virus BMBtp2</t>
  </si>
  <si>
    <t>Bacillus virus TP21</t>
  </si>
  <si>
    <t>Triavirus</t>
  </si>
  <si>
    <t>Staphylococcus virus 47</t>
  </si>
  <si>
    <t>Staphylococcus virus 3a</t>
  </si>
  <si>
    <t>Staphylococcus virus 42e</t>
  </si>
  <si>
    <t>Staphylococcus virus IPLA35</t>
  </si>
  <si>
    <t>Staphylococcus virus phi12</t>
  </si>
  <si>
    <t>Staphylococcus virus phiSLT</t>
  </si>
  <si>
    <t>Wbetavirus</t>
  </si>
  <si>
    <t>Bacillus virus Wbeta</t>
  </si>
  <si>
    <t>Xanthomonas virus CP1</t>
  </si>
  <si>
    <t>Xanthomonas virus OP1</t>
  </si>
  <si>
    <t>Xanthomonas virus Xop411</t>
  </si>
  <si>
    <t>Xanthomonas virus Xp10</t>
  </si>
  <si>
    <t>Yuavirus</t>
  </si>
  <si>
    <t>Alphaproteobacteria virus phiJl001</t>
  </si>
  <si>
    <t>Pseudomonas virus M6</t>
  </si>
  <si>
    <t>Pseudomonas virus Yua</t>
  </si>
  <si>
    <t>Gallid alphaherpesvirus 1</t>
  </si>
  <si>
    <t>Psittacid alphaherpesvirus 1</t>
  </si>
  <si>
    <t>Anatid alphaherpesvirus 1</t>
  </si>
  <si>
    <t>Columbid alphaherpesvirus 1</t>
  </si>
  <si>
    <t>Gallid alphaherpesvirus 2</t>
  </si>
  <si>
    <t>Gallid alphaherpesvirus 3</t>
  </si>
  <si>
    <t>Meleagrid alphaherpesvirus 1</t>
  </si>
  <si>
    <t>Chelonid alphaherpesvirus 5</t>
  </si>
  <si>
    <t>Ateline alphaherpesvirus 1</t>
  </si>
  <si>
    <t>Bovine alphaherpesvirus 2</t>
  </si>
  <si>
    <t>Cercopithecine alphaherpesvirus 2</t>
  </si>
  <si>
    <t>Human alphaherpesvirus 1</t>
  </si>
  <si>
    <t>Human alphaherpesvirus 2</t>
  </si>
  <si>
    <t>Leporid alphaherpesvirus 4</t>
  </si>
  <si>
    <t>Macacine alphaherpesvirus 1</t>
  </si>
  <si>
    <t>Macropodid alphaherpesvirus 1</t>
  </si>
  <si>
    <t>Macropodid alphaherpesvirus 2</t>
  </si>
  <si>
    <t>Panine alphaherpesvirus 3</t>
  </si>
  <si>
    <t>Papiine alphaherpesvirus 2</t>
  </si>
  <si>
    <t>Saimiriine alphaherpesvirus 1</t>
  </si>
  <si>
    <t>Chelonid alphaherpesvirus 6</t>
  </si>
  <si>
    <t>Bovine alphaherpesvirus 1</t>
  </si>
  <si>
    <t>Bovine alphaherpesvirus 5</t>
  </si>
  <si>
    <t>Bubaline alphaherpesvirus 1</t>
  </si>
  <si>
    <t>Canid alphaherpesvirus 1</t>
  </si>
  <si>
    <t>Caprine alphaherpesvirus 1</t>
  </si>
  <si>
    <t>Cercopithecine alphaherpesvirus 9</t>
  </si>
  <si>
    <t>Cervid alphaherpesvirus 1</t>
  </si>
  <si>
    <t>Cervid alphaherpesvirus 2</t>
  </si>
  <si>
    <t>Equid alphaherpesvirus 1</t>
  </si>
  <si>
    <t>Equid alphaherpesvirus 3</t>
  </si>
  <si>
    <t>Equid alphaherpesvirus 4</t>
  </si>
  <si>
    <t>Equid alphaherpesvirus 8</t>
  </si>
  <si>
    <t>Equid alphaherpesvirus 9</t>
  </si>
  <si>
    <t>Felid alphaherpesvirus 1</t>
  </si>
  <si>
    <t>Human alphaherpesvirus 3</t>
  </si>
  <si>
    <t>Phocid alphaherpesvirus 1</t>
  </si>
  <si>
    <t>Suid alphaherpesvirus 1</t>
  </si>
  <si>
    <t>Aotine betaherpesvirus 1</t>
  </si>
  <si>
    <t>Cebine betaherpesvirus 1</t>
  </si>
  <si>
    <t>Cercopithecine betaherpesvirus 5</t>
  </si>
  <si>
    <t>Human betaherpesvirus 5</t>
  </si>
  <si>
    <t>Macacine betaherpesvirus 3</t>
  </si>
  <si>
    <t>Panine betaherpesvirus 2</t>
  </si>
  <si>
    <t>Papiine betaherpesvirus 3</t>
  </si>
  <si>
    <t>Saimiriine betaherpesvirus 4</t>
  </si>
  <si>
    <t>Murid betaherpesvirus 1</t>
  </si>
  <si>
    <t>Murid betaherpesvirus 2</t>
  </si>
  <si>
    <t>Murid betaherpesvirus 8</t>
  </si>
  <si>
    <t>Elephantid betaherpesvirus 1</t>
  </si>
  <si>
    <t>Human betaherpesvirus 7</t>
  </si>
  <si>
    <t>Human betaherpesvirus 6A</t>
  </si>
  <si>
    <t>Human betaherpesvirus 6B</t>
  </si>
  <si>
    <t>Caviid betaherpesvirus 2</t>
  </si>
  <si>
    <t>Suid betaherpesvirus 2</t>
  </si>
  <si>
    <t>Tupaiid betaherpesvirus 1</t>
  </si>
  <si>
    <t>Callitrichine gammaherpesvirus 3</t>
  </si>
  <si>
    <t>Cercopithecine gammaherpesvirus 14</t>
  </si>
  <si>
    <t>Gorilline gammaherpesvirus 1</t>
  </si>
  <si>
    <t>Human gammaherpesvirus 4</t>
  </si>
  <si>
    <t>Macacine gammaherpesvirus 4</t>
  </si>
  <si>
    <t>Panine gammaherpesvirus 1</t>
  </si>
  <si>
    <t>Papiine gammaherpesvirus 1</t>
  </si>
  <si>
    <t>Pongine gammaherpesvirus 2</t>
  </si>
  <si>
    <t>Alcelaphine gammaherpesvirus 1</t>
  </si>
  <si>
    <t>Alcelaphine gammaherpesvirus 2</t>
  </si>
  <si>
    <t>Bovine gammaherpesvirus 6</t>
  </si>
  <si>
    <t>Caprine gammaherpesvirus 2</t>
  </si>
  <si>
    <t>Hippotragine gammaherpesvirus 1</t>
  </si>
  <si>
    <t>Ovine gammaherpesvirus 2</t>
  </si>
  <si>
    <t>Suid gammaherpesvirus 3</t>
  </si>
  <si>
    <t>Suid gammaherpesvirus 4</t>
  </si>
  <si>
    <t>Suid gammaherpesvirus 5</t>
  </si>
  <si>
    <t>Equid gammaherpesvirus 2</t>
  </si>
  <si>
    <t>Equid gammaherpesvirus 5</t>
  </si>
  <si>
    <t>Mustelid gammaherpesvirus 1</t>
  </si>
  <si>
    <t>Ateline gammaherpesvirus 2</t>
  </si>
  <si>
    <t>Ateline gammaherpesvirus 3</t>
  </si>
  <si>
    <t>Bovine gammaherpesvirus 4</t>
  </si>
  <si>
    <t>Cricetid gammaherpesvirus 2</t>
  </si>
  <si>
    <t>Human gammaherpesvirus 8</t>
  </si>
  <si>
    <t>Macacine gammaherpesvirus 5</t>
  </si>
  <si>
    <t>Murid gammaherpesvirus 4</t>
  </si>
  <si>
    <t>Murid gammaherpesvirus 7</t>
  </si>
  <si>
    <t>Saimiriine gammaherpesvirus 2</t>
  </si>
  <si>
    <t>Equid gammaherpesvirus 7</t>
  </si>
  <si>
    <t>Phocid gammaherpesvirus 2</t>
  </si>
  <si>
    <t>Saguinine gammaherpesvirus 1</t>
  </si>
  <si>
    <t>Mymonaviridae</t>
  </si>
  <si>
    <t>Sclerotimonavirus</t>
  </si>
  <si>
    <t>Sclerotinia sclerotimonavirus</t>
  </si>
  <si>
    <t>Socyvirus</t>
  </si>
  <si>
    <t>Soybean cyst nematode socyvirus</t>
  </si>
  <si>
    <t>Cedar henipavirus</t>
  </si>
  <si>
    <t>Ghanaian bat henipavirus</t>
  </si>
  <si>
    <t>Mojiang henipavirus</t>
  </si>
  <si>
    <t>Feline morbillivirus</t>
  </si>
  <si>
    <t>Pneumoviridae</t>
  </si>
  <si>
    <t>Orthopneumovirus</t>
  </si>
  <si>
    <t>Alfalfa dwarf cytorhabdovirus</t>
  </si>
  <si>
    <t>Barley yellow striate mosaic cytorhabdovirus</t>
  </si>
  <si>
    <t>Broccoli necrotic yellows cytorhabdovirus</t>
  </si>
  <si>
    <t>Festuca leaf streak cytorhabdovirus</t>
  </si>
  <si>
    <t>Lettuce necrotic yellows cytorhabdovirus</t>
  </si>
  <si>
    <t>Lettuce yellow mottle cytorhabdovirus</t>
  </si>
  <si>
    <t>Northern cereal mosaic cytorhabdovirus</t>
  </si>
  <si>
    <t>Sonchus cytorhabdovirus 1</t>
  </si>
  <si>
    <t>Strawberry crinkle cytorhabdovirus</t>
  </si>
  <si>
    <t>Wheat American striate mosaic cytorhabdovirus</t>
  </si>
  <si>
    <t>Dichorhavirus</t>
  </si>
  <si>
    <t>Coffee ringspot dichorhavirus</t>
  </si>
  <si>
    <t>Orchid fleck dichorhavirus</t>
  </si>
  <si>
    <t>Adelaide River ephemerovirus</t>
  </si>
  <si>
    <t>Berrimah ephemerovirus</t>
  </si>
  <si>
    <t>Bovine fever ephemerovirus</t>
  </si>
  <si>
    <t>Obodhiang ephemerovirus</t>
  </si>
  <si>
    <t>Aravan lyssavirus</t>
  </si>
  <si>
    <t>Duvenhage lyssavirus</t>
  </si>
  <si>
    <t>European bat 1 lyssavirus</t>
  </si>
  <si>
    <t>European bat 2 lyssavirus</t>
  </si>
  <si>
    <t>Irkut lyssavirus</t>
  </si>
  <si>
    <t>Khujand lyssavirus</t>
  </si>
  <si>
    <t>Lagos bat lyssavirus</t>
  </si>
  <si>
    <t>Mokola lyssavirus</t>
  </si>
  <si>
    <t>Rabies lyssavirus</t>
  </si>
  <si>
    <t>Shimoni bat lyssavirus</t>
  </si>
  <si>
    <t>West Caucasian bat lyssavirus</t>
  </si>
  <si>
    <t>Hirame novirhabdovirus</t>
  </si>
  <si>
    <t>Snakehead novirhabdovirus</t>
  </si>
  <si>
    <t>Datura yellow vein nucleorhabdovirus</t>
  </si>
  <si>
    <t>Eggplant mottled dwarf nucleorhabdovirus</t>
  </si>
  <si>
    <t>Maize fine streak nucleorhabdovirus</t>
  </si>
  <si>
    <t>Maize Iranian mosaic nucleorhabdovirus</t>
  </si>
  <si>
    <t>Maize mosaic nucleorhabdovirus</t>
  </si>
  <si>
    <t>Potato yellow dwarf nucleorhabdovirus</t>
  </si>
  <si>
    <t>Rice yellow stunt nucleorhabdovirus</t>
  </si>
  <si>
    <t>Sonchus yellow net nucleorhabdovirus</t>
  </si>
  <si>
    <t>Sowthistle yellow vein nucleorhabdovirus</t>
  </si>
  <si>
    <t>Taro vein chlorosis nucleorhabdovirus</t>
  </si>
  <si>
    <t>Anguillid perhabdovirus</t>
  </si>
  <si>
    <t>Perch perhabdovirus</t>
  </si>
  <si>
    <t>Sea trout perhabdovirus</t>
  </si>
  <si>
    <t>Carp sprivivirus</t>
  </si>
  <si>
    <t>Pike fry sprivivirus</t>
  </si>
  <si>
    <t>Coastal Plains tibrovirus</t>
  </si>
  <si>
    <t>Tibrogargan tibrovirus</t>
  </si>
  <si>
    <t>Durham tupavirus</t>
  </si>
  <si>
    <t>Tupaia tupavirus</t>
  </si>
  <si>
    <t>Lettuce big-vein associated varicosavirus</t>
  </si>
  <si>
    <t>Alagoas vesiculovirus</t>
  </si>
  <si>
    <t>Carajas vesiculovirus</t>
  </si>
  <si>
    <t>Chandipura vesiculovirus</t>
  </si>
  <si>
    <t>Cocal vesiculovirus</t>
  </si>
  <si>
    <t>Indiana vesiculovirus</t>
  </si>
  <si>
    <t>Isfahan vesiculovirus</t>
  </si>
  <si>
    <t>Maraba vesiculovirus</t>
  </si>
  <si>
    <t>New Jersey vesiculovirus</t>
  </si>
  <si>
    <t>Piry vesiculovirus</t>
  </si>
  <si>
    <t>Sunviridae</t>
  </si>
  <si>
    <t>Sunshinevirus</t>
  </si>
  <si>
    <t>Reptile sunshinevirus 1</t>
  </si>
  <si>
    <t>Anphevirus</t>
  </si>
  <si>
    <t>Xincheng anphevirus</t>
  </si>
  <si>
    <t>Arlivirus</t>
  </si>
  <si>
    <t>Lishi arlivirus</t>
  </si>
  <si>
    <t>Crustavirus</t>
  </si>
  <si>
    <t>Wenzhou crustavirus</t>
  </si>
  <si>
    <t>Bat coronavirus CDPHE15</t>
  </si>
  <si>
    <t>Bat coronavirus HKU10</t>
  </si>
  <si>
    <t>Mink coronavirus 1</t>
  </si>
  <si>
    <t>Hedgehog coronavirus 1</t>
  </si>
  <si>
    <t>Middle East respiratory syndrome-related coronavirus</t>
  </si>
  <si>
    <t>Common moorhen coronavirus HKU21</t>
  </si>
  <si>
    <t>Coronavirus HKU15</t>
  </si>
  <si>
    <t>Night heron coronavirus HKU19</t>
  </si>
  <si>
    <t>White-eye coronavirus HKU16</t>
  </si>
  <si>
    <t>Wigeon coronavirus HKU20</t>
  </si>
  <si>
    <t>Fathead minnow nidovirus 1</t>
  </si>
  <si>
    <t>Ball python nidovirus 1</t>
  </si>
  <si>
    <t>Alphamesonivirus 2</t>
  </si>
  <si>
    <t>Alphamesonivirus 3</t>
  </si>
  <si>
    <t>Alphamesonivirus 4</t>
  </si>
  <si>
    <t>Alphamesonivirus 5</t>
  </si>
  <si>
    <t>Triatovirus</t>
  </si>
  <si>
    <t>Antheraea pernyi iflavirus</t>
  </si>
  <si>
    <t>Dinocampus coccinellae paralysis virus</t>
  </si>
  <si>
    <t>Lymantria dispar iflavirus 1</t>
  </si>
  <si>
    <t>Spodoptera exigua iflavirus 1</t>
  </si>
  <si>
    <t>Spodoptera exigua iflavirus 2</t>
  </si>
  <si>
    <t>Limnipivirus</t>
  </si>
  <si>
    <t>Limnipivirus A</t>
  </si>
  <si>
    <t>Limnipivirus B</t>
  </si>
  <si>
    <t>Limnipivirus C</t>
  </si>
  <si>
    <t>Potamipivirus</t>
  </si>
  <si>
    <t>Potamipivirus A</t>
  </si>
  <si>
    <t>Aeonium ringspot virus</t>
  </si>
  <si>
    <t>Mulberry mosaic leaf roll associated virus</t>
  </si>
  <si>
    <t>Carrot torradovirus 1</t>
  </si>
  <si>
    <t>Motherwort yellow mottle virus</t>
  </si>
  <si>
    <t>Platypuvirus</t>
  </si>
  <si>
    <t>Donkey orchid symptomless virus</t>
  </si>
  <si>
    <t>Yam virus X</t>
  </si>
  <si>
    <t>Quinvirinae</t>
  </si>
  <si>
    <t>Gaillardia latent virus</t>
  </si>
  <si>
    <t>Potato virus H</t>
  </si>
  <si>
    <t>Robigovirus</t>
  </si>
  <si>
    <t>Cherry rusty mottle associated virus</t>
  </si>
  <si>
    <t>Cherry twisted leaf associated virus</t>
  </si>
  <si>
    <t>Trivirinae</t>
  </si>
  <si>
    <t>Chordovirus</t>
  </si>
  <si>
    <t>Carrot Ch virus 1</t>
  </si>
  <si>
    <t>Carrot Ch virus 2</t>
  </si>
  <si>
    <t>Divavirus</t>
  </si>
  <si>
    <t>Prunevirus</t>
  </si>
  <si>
    <t>Apricot vein clearing associated virus</t>
  </si>
  <si>
    <t>Caucasus prunus virus</t>
  </si>
  <si>
    <t>Prunus virus T</t>
  </si>
  <si>
    <t>Duck aviadenovirus B</t>
  </si>
  <si>
    <t>Pigeon aviadenovirus A</t>
  </si>
  <si>
    <t>Turkey aviadenovirus C</t>
  </si>
  <si>
    <t>Turkey aviadenovirus D</t>
  </si>
  <si>
    <t>Simian mastadenovirus B</t>
  </si>
  <si>
    <t>Simian mastadenovirus C</t>
  </si>
  <si>
    <t>Torque teno sus virus k2a</t>
  </si>
  <si>
    <t>Torque teno sus virus k2b</t>
  </si>
  <si>
    <t>Gairo mammarenavirus</t>
  </si>
  <si>
    <t>Mariental mammarenavirus</t>
  </si>
  <si>
    <t>Okahandja mammarenavirus</t>
  </si>
  <si>
    <t>Wenzhou mammarenavirus</t>
  </si>
  <si>
    <t>Toursvirus</t>
  </si>
  <si>
    <t>Agrotis segetum nucleopolyhedrovirus A</t>
  </si>
  <si>
    <t>Agrotis segetum nucleopolyhedrovirus B</t>
  </si>
  <si>
    <t>Chrysodeixis includens nucleopolyhedrovirus</t>
  </si>
  <si>
    <t>Sucra jujuba nucleopolyhedrovirus</t>
  </si>
  <si>
    <t>Agrotis segetum granulovirus</t>
  </si>
  <si>
    <t>Erinnyis ello granulovirus</t>
  </si>
  <si>
    <t>Spodoptera frugiperda granulovirus</t>
  </si>
  <si>
    <t>Acara orthobunyavirus</t>
  </si>
  <si>
    <t>Akabane orthobunyavirus</t>
  </si>
  <si>
    <t>Alajuela orthobunyavirus</t>
  </si>
  <si>
    <t>Anopheles A orthobunyavirus</t>
  </si>
  <si>
    <t>Anopheles B orthobunyavirus</t>
  </si>
  <si>
    <t>Bakau orthobunyavirus</t>
  </si>
  <si>
    <t>Batama orthobunyavirus</t>
  </si>
  <si>
    <t>Benevides orthobunyavirus</t>
  </si>
  <si>
    <t>Bertioga orthobunyavirus</t>
  </si>
  <si>
    <t>Bimiti orthobunyavirus</t>
  </si>
  <si>
    <t>Botambi orthobunyavirus</t>
  </si>
  <si>
    <t>Bunyamwera orthobunyavirus</t>
  </si>
  <si>
    <t>Bushbush orthobunyavirus</t>
  </si>
  <si>
    <t>Bwamba orthobunyavirus</t>
  </si>
  <si>
    <t>California encephalitis orthobunyavirus</t>
  </si>
  <si>
    <t>Capim orthobunyavirus</t>
  </si>
  <si>
    <t>Caraparu orthobunyavirus</t>
  </si>
  <si>
    <t>Catu orthobunyavirus</t>
  </si>
  <si>
    <t>Gamboa orthobunyavirus</t>
  </si>
  <si>
    <t>Guajara orthobunyavirus</t>
  </si>
  <si>
    <t>Guama orthobunyavirus</t>
  </si>
  <si>
    <t>Guaroa orthobunyavirus</t>
  </si>
  <si>
    <t>Kaeng Khoi orthobunyavirus</t>
  </si>
  <si>
    <t>Kairi orthobunyavirus</t>
  </si>
  <si>
    <t>Koongol orthobunyavirus</t>
  </si>
  <si>
    <t>Madrid orthobunyavirus</t>
  </si>
  <si>
    <t>Main Drain orthobunyavirus</t>
  </si>
  <si>
    <t>Manzanilla orthobunyavirus</t>
  </si>
  <si>
    <t>Marituba orthobunyavirus</t>
  </si>
  <si>
    <t>Minatitlan orthobunyavirus</t>
  </si>
  <si>
    <t>MPoko orthobunyavirus</t>
  </si>
  <si>
    <t>Nyando orthobunyavirus</t>
  </si>
  <si>
    <t>Olifantsvlei orthobunyavirus</t>
  </si>
  <si>
    <t>Oriboca orthobunyavirus</t>
  </si>
  <si>
    <t>Oropouche orthobunyavirus</t>
  </si>
  <si>
    <t>Patois orthobunyavirus</t>
  </si>
  <si>
    <t>Shuni orthobunyavirus</t>
  </si>
  <si>
    <t>Simbu orthobunyavirus</t>
  </si>
  <si>
    <t>Tacaiuma orthobunyavirus</t>
  </si>
  <si>
    <t>Tete orthobunyavirus</t>
  </si>
  <si>
    <t>Thimiri orthobunyavirus</t>
  </si>
  <si>
    <t>Timboteua orthobunyavirus</t>
  </si>
  <si>
    <t>Turlock orthobunyavirus</t>
  </si>
  <si>
    <t>Wyeomyia orthobunyavirus</t>
  </si>
  <si>
    <t>Zegla orthobunyavirus</t>
  </si>
  <si>
    <t>Bujaru phlebovirus</t>
  </si>
  <si>
    <t>Candiru phlebovirus</t>
  </si>
  <si>
    <t>Chilibre phlebovirus</t>
  </si>
  <si>
    <t>Frijoles phlebovirus</t>
  </si>
  <si>
    <t>Punta Toro phlebovirus</t>
  </si>
  <si>
    <t>Rift Valley fever phlebovirus</t>
  </si>
  <si>
    <t>Salehabad phlebovirus</t>
  </si>
  <si>
    <t>Sandfly fever Naples phlebovirus</t>
  </si>
  <si>
    <t>Uukuniemi phlebovirus</t>
  </si>
  <si>
    <t>Cacao swollen shoot CD virus</t>
  </si>
  <si>
    <t>Cacao swollen shoot Togo A virus</t>
  </si>
  <si>
    <t>Grapevine Roditis leaf discoloration-associated virus</t>
  </si>
  <si>
    <t>Sugarcane bacilliform Guadeloupe A virus</t>
  </si>
  <si>
    <t>Sugarcane bacilliform Guadeloupe D virus</t>
  </si>
  <si>
    <t>Barbel circovirus</t>
  </si>
  <si>
    <t>Canine circovirus</t>
  </si>
  <si>
    <t>European catfish circovirus</t>
  </si>
  <si>
    <t>Mink circovirus</t>
  </si>
  <si>
    <t>Porcine circovirus 1</t>
  </si>
  <si>
    <t>Porcine circovirus 2</t>
  </si>
  <si>
    <t>Raven circovirus</t>
  </si>
  <si>
    <t>Zebra finch circovirus</t>
  </si>
  <si>
    <t>Cyclovirus</t>
  </si>
  <si>
    <t>Blackberry vein banding-associated virus</t>
  </si>
  <si>
    <t>Blueberry virus A</t>
  </si>
  <si>
    <t>Cordyline virus 2</t>
  </si>
  <si>
    <t>Cordyline virus 3</t>
  </si>
  <si>
    <t>Cordyline virus 4</t>
  </si>
  <si>
    <t>Pseudoalteromonas virus PM2</t>
  </si>
  <si>
    <t>Pseudomonas virus phi6</t>
  </si>
  <si>
    <t>Abutilon golden mosaic virus</t>
  </si>
  <si>
    <t>Capraria yellow spot virus</t>
  </si>
  <si>
    <t>Cassava mosaic Madagascar virus</t>
  </si>
  <si>
    <t>Catharanthus yellow mosaic virus</t>
  </si>
  <si>
    <t>Chenopodium leaf curl virus</t>
  </si>
  <si>
    <t>Chilli leaf curl India virus</t>
  </si>
  <si>
    <t>Chilli leaf curl Kanpur virus</t>
  </si>
  <si>
    <t>Chilli leaf curl Vellanad virus</t>
  </si>
  <si>
    <t>Clerodendron yellow mosaic virus</t>
  </si>
  <si>
    <t>Clerodendrum golden mosaic China virus</t>
  </si>
  <si>
    <t>Clerodendrum golden mosaic Jiangsu virus</t>
  </si>
  <si>
    <t>Corchorus yellow vein mosaic virus</t>
  </si>
  <si>
    <t>Cotton chlorotic spot virus</t>
  </si>
  <si>
    <t>Crassocephalum yellow vein virus</t>
  </si>
  <si>
    <t>Emilia yellow vein virus</t>
  </si>
  <si>
    <t>French bean leaf curl virus</t>
  </si>
  <si>
    <t>Hedyotis uncinella yellow mosaic virus</t>
  </si>
  <si>
    <t>Hemidesmus yellow mosaic virus</t>
  </si>
  <si>
    <t>Jatropha leaf curl virus</t>
  </si>
  <si>
    <t>Jatropha mosaic Nigeria virus</t>
  </si>
  <si>
    <t>Jatropha mosaic virus</t>
  </si>
  <si>
    <t>Jatropha yellow mosaic virus</t>
  </si>
  <si>
    <t>Malvastrum leaf curl Philippines virus</t>
  </si>
  <si>
    <t>Mesta yellow vein mosaic Bahraich virus</t>
  </si>
  <si>
    <t>Pepper yellow leaf curl virus</t>
  </si>
  <si>
    <t>Pouzolzia golden mosaic virus</t>
  </si>
  <si>
    <t>Pouzolzia mosaic Guangdong virus</t>
  </si>
  <si>
    <t>Premna leaf curl virus</t>
  </si>
  <si>
    <t>Rhynchosia yellow mosaic India virus</t>
  </si>
  <si>
    <t>Sauropus leaf curl virus</t>
  </si>
  <si>
    <t>Sida ciliaris golden mosaic virus</t>
  </si>
  <si>
    <t>Sida common mosaic virus</t>
  </si>
  <si>
    <t>Sida golden mosaic Brazil virus</t>
  </si>
  <si>
    <t>Sida golden mosaic Lara virus</t>
  </si>
  <si>
    <t>Sida yellow leaf curl virus</t>
  </si>
  <si>
    <t>Sidastrum golden leaf spot virus</t>
  </si>
  <si>
    <t>Soybean chlorotic blotch virus</t>
  </si>
  <si>
    <t>Spinach yellow vein virus</t>
  </si>
  <si>
    <t>Sunn hemp leaf distortion virus</t>
  </si>
  <si>
    <t>Sweet potato leaf curl Henan virus</t>
  </si>
  <si>
    <t>Sweet potato leaf curl Sichuan virus 1</t>
  </si>
  <si>
    <t>Sweet potato leaf curl Sichuan virus 2</t>
  </si>
  <si>
    <t>Tobacco leaf curl Comoros virus</t>
  </si>
  <si>
    <t>Tomato bright yellow mosaic virus</t>
  </si>
  <si>
    <t>Tomato bright yellow mottle virus</t>
  </si>
  <si>
    <t>Tomato golden leaf distortion virus</t>
  </si>
  <si>
    <t>Tomato interveinal chlorosis virus</t>
  </si>
  <si>
    <t>Tomato leaf curl Liwa virus</t>
  </si>
  <si>
    <t>Tomato leaf curl New Delhi virus 2</t>
  </si>
  <si>
    <t>Tomato leaf curl New Delhi virus 4</t>
  </si>
  <si>
    <t>Tomato leaf curl Palampur virus</t>
  </si>
  <si>
    <t>Tomato leaf curl Patna virus</t>
  </si>
  <si>
    <t>Tomato leaf curl Rajasthan virus</t>
  </si>
  <si>
    <t>Tomato leaf curl Sulawesi virus</t>
  </si>
  <si>
    <t>Velvet bean severe mosaic virus</t>
  </si>
  <si>
    <t>Vigna yellow mosaic virus</t>
  </si>
  <si>
    <t>Axonopus compressus streak virus</t>
  </si>
  <si>
    <t>Sugarcane white streak virus</t>
  </si>
  <si>
    <t>Switchgrass mosaic-associated virus</t>
  </si>
  <si>
    <t>Genomoviridae</t>
  </si>
  <si>
    <t>Gemycircularvirus</t>
  </si>
  <si>
    <t>Sclerotinia gemycircularvirus 1</t>
  </si>
  <si>
    <t>Long-fingered bat hepatitis B virus</t>
  </si>
  <si>
    <t>Roundleaf bat hepatitis B virus</t>
  </si>
  <si>
    <t>Tent-making bat hepatitis B virus</t>
  </si>
  <si>
    <t>Escherichia virus I22</t>
  </si>
  <si>
    <t>Escherichia virus If1</t>
  </si>
  <si>
    <t>Escherichia virus M13</t>
  </si>
  <si>
    <t>Pseudomonas virus Pf1</t>
  </si>
  <si>
    <t>Pseudomonas virus Pf3</t>
  </si>
  <si>
    <t>Salmonella virus IKe</t>
  </si>
  <si>
    <t>Vibrio virus CTXphi</t>
  </si>
  <si>
    <t>Vibrio virus fs1</t>
  </si>
  <si>
    <t>Vibrio virus fs2</t>
  </si>
  <si>
    <t>Vibrio virus Vf33</t>
  </si>
  <si>
    <t>Xanthomonas virus Cf1c</t>
  </si>
  <si>
    <t>Spiroplasma virus C74</t>
  </si>
  <si>
    <t>Spiroplasma virus R8A2B</t>
  </si>
  <si>
    <t>Lavidaviridae</t>
  </si>
  <si>
    <t>Mavirus</t>
  </si>
  <si>
    <t>Cafeteriavirus-dependent mavirus</t>
  </si>
  <si>
    <t>Sputnikvirus</t>
  </si>
  <si>
    <t>Mimivirus-dependent virus Sputnik</t>
  </si>
  <si>
    <t>Mimivirus-dependent virus Zamilon</t>
  </si>
  <si>
    <t>Escherichia virus FI</t>
  </si>
  <si>
    <t>Escherichia virus Qbeta</t>
  </si>
  <si>
    <t>Escherichia virus BZ13</t>
  </si>
  <si>
    <t>Escherichia virus MS2</t>
  </si>
  <si>
    <t>Bullavirinae</t>
  </si>
  <si>
    <t>Escherichia virus alpha3</t>
  </si>
  <si>
    <t>Escherichia virus ID21</t>
  </si>
  <si>
    <t>Escherichia virus ID32</t>
  </si>
  <si>
    <t>Escherichia virus ID62</t>
  </si>
  <si>
    <t>Escherichia virus NC28</t>
  </si>
  <si>
    <t>Escherichia virus NC29</t>
  </si>
  <si>
    <t>Escherichia virus NC35</t>
  </si>
  <si>
    <t>Escherichia virus phiK</t>
  </si>
  <si>
    <t>Escherichia virus St1</t>
  </si>
  <si>
    <t>Escherichia virus WA45</t>
  </si>
  <si>
    <t>Escherichia virus G4</t>
  </si>
  <si>
    <t>Escherichia virus ID52</t>
  </si>
  <si>
    <t>Escherichia virus Talmos</t>
  </si>
  <si>
    <t>Escherichia virus phiX174</t>
  </si>
  <si>
    <t>Bdellovibrio virus MAC1</t>
  </si>
  <si>
    <t>Bdellovibrio virus MH2K</t>
  </si>
  <si>
    <t>Chlamydia virus Chp1</t>
  </si>
  <si>
    <t>Chlamydia virus Chp2</t>
  </si>
  <si>
    <t>Chlamydia virus CPAR39</t>
  </si>
  <si>
    <t>Chlamydia virus CPG1</t>
  </si>
  <si>
    <t>Spiroplasma virus SpV4</t>
  </si>
  <si>
    <t>Black medic leaf roll virus</t>
  </si>
  <si>
    <t>Pea yellow stunt virus</t>
  </si>
  <si>
    <t>Dyochipapillomavirus</t>
  </si>
  <si>
    <t>Dyochipapillomavirus 1</t>
  </si>
  <si>
    <t>Dyokappapapillomavirus 2</t>
  </si>
  <si>
    <t>Dyoomegapapillomavirus 1</t>
  </si>
  <si>
    <t>Dyophipapillomavirus</t>
  </si>
  <si>
    <t>Dyophipapillomavirus 1</t>
  </si>
  <si>
    <t>Dyopsipapillomavirus</t>
  </si>
  <si>
    <t>Dyopsipapillomavirus 1</t>
  </si>
  <si>
    <t>Dyotaupapillomavirus</t>
  </si>
  <si>
    <t>Dyotaupapillomavirus 1</t>
  </si>
  <si>
    <t>Dyoupsilonpapillomavirus</t>
  </si>
  <si>
    <t>Dyoupsilonpapillomavirus 1</t>
  </si>
  <si>
    <t>Gammapapillomavirus 21</t>
  </si>
  <si>
    <t>Gammapapillomavirus 22</t>
  </si>
  <si>
    <t>Gammapapillomavirus 23</t>
  </si>
  <si>
    <t>Gammapapillomavirus 24</t>
  </si>
  <si>
    <t>Gammapapillomavirus 25</t>
  </si>
  <si>
    <t>Gammapapillomavirus 26</t>
  </si>
  <si>
    <t>Mupapillomavirus 3</t>
  </si>
  <si>
    <t>Rhopapillomavirus 2</t>
  </si>
  <si>
    <t>Taupapillomavirus 3</t>
  </si>
  <si>
    <t>Treisdeltapapillomavirus</t>
  </si>
  <si>
    <t>Treisdeltapapillomavirus 1</t>
  </si>
  <si>
    <t>Treisepsilonpapillomavirus</t>
  </si>
  <si>
    <t>Treisepsilonpapillomavirus 1</t>
  </si>
  <si>
    <t>Treisetapapillomavirus</t>
  </si>
  <si>
    <t>Treisetapapillomavirus 1</t>
  </si>
  <si>
    <t>Treiszetapapillomavirus</t>
  </si>
  <si>
    <t>Treiszetapapillomavirus 1</t>
  </si>
  <si>
    <t>Xipapillomavirus 3</t>
  </si>
  <si>
    <t>Heterobasidion partitivirus 12</t>
  </si>
  <si>
    <t>Heterobasidion partitivirus 13</t>
  </si>
  <si>
    <t>Heterobasidion partitivirus 15</t>
  </si>
  <si>
    <t>Heterobasidion partitivirus 7</t>
  </si>
  <si>
    <t>Acholeplasma virus L2</t>
  </si>
  <si>
    <t>Pleolipoviridae</t>
  </si>
  <si>
    <t>Alphapleolipovirus</t>
  </si>
  <si>
    <t>Betapleolipovirus</t>
  </si>
  <si>
    <t>Gammapleolipovirus</t>
  </si>
  <si>
    <t>Haloarcula virus His2</t>
  </si>
  <si>
    <t>Alphapolyomavirus</t>
  </si>
  <si>
    <t>Acerodon celebensis polyomavirus 1</t>
  </si>
  <si>
    <t>Artibeus planirostris polyomavirus 2</t>
  </si>
  <si>
    <t>Artibeus planirostris polyomavirus 3</t>
  </si>
  <si>
    <t>Ateles paniscus polyomavirus 1</t>
  </si>
  <si>
    <t>Cardioderma cor polyomavirus 1</t>
  </si>
  <si>
    <t>Carollia perspicillata polyomavirus 1</t>
  </si>
  <si>
    <t>Chlorocebus pygerythrus polyomavirus 1</t>
  </si>
  <si>
    <t>Chlorocebus pygerythrus polyomavirus 3</t>
  </si>
  <si>
    <t>Dobsonia moluccensis polyomavirus 1</t>
  </si>
  <si>
    <t>Eidolon helvum polyomavirus 1</t>
  </si>
  <si>
    <t>Gorilla gorilla polyomavirus 1</t>
  </si>
  <si>
    <t>Human polyomavirus 5</t>
  </si>
  <si>
    <t>Human polyomavirus 8</t>
  </si>
  <si>
    <t>Human polyomavirus 9</t>
  </si>
  <si>
    <t>Human polyomavirus 13</t>
  </si>
  <si>
    <t>Macaca fascicularis polyomavirus 1</t>
  </si>
  <si>
    <t>Mesocricetus auratus polyomavirus 1</t>
  </si>
  <si>
    <t>Molossus molossus polyomavirus 1</t>
  </si>
  <si>
    <t>Mus musculus polyomavirus 1</t>
  </si>
  <si>
    <t>Otomops martiensseni polyomavirus 1</t>
  </si>
  <si>
    <t>Otomops martiensseni polyomavirus 2</t>
  </si>
  <si>
    <t>Pan troglodytes polyomavirus 1</t>
  </si>
  <si>
    <t>Pan troglodytes polyomavirus 2</t>
  </si>
  <si>
    <t>Pan troglodytes polyomavirus 3</t>
  </si>
  <si>
    <t>Pan troglodytes polyomavirus 4</t>
  </si>
  <si>
    <t>Pan troglodytes polyomavirus 5</t>
  </si>
  <si>
    <t>Pan troglodytes polyomavirus 6</t>
  </si>
  <si>
    <t>Pan troglodytes polyomavirus 7</t>
  </si>
  <si>
    <t>Papio cynocephalus polyomavirus 1</t>
  </si>
  <si>
    <t>Piliocolobus rufomitratus polyomavirus 1</t>
  </si>
  <si>
    <t>Pongo abelii polyomavirus 1</t>
  </si>
  <si>
    <t>Pongo pygmaeus polyomavirus 1</t>
  </si>
  <si>
    <t>Procyon lotor polyomavirus 1</t>
  </si>
  <si>
    <t>Pteropus vampyrus polyomavirus 1</t>
  </si>
  <si>
    <t>Sturnira lilium polyomavirus 1</t>
  </si>
  <si>
    <t>Betapolyomavirus</t>
  </si>
  <si>
    <t>Acerodon celebensis polyomavirus 2</t>
  </si>
  <si>
    <t>Artibeus planirostris polyomavirus 1</t>
  </si>
  <si>
    <t>Cebus albifrons polyomavirus 1</t>
  </si>
  <si>
    <t>Cercopithecus erythrotis polyomavirus 1</t>
  </si>
  <si>
    <t>Chlorocebus pygerythrus polyomavirus 2</t>
  </si>
  <si>
    <t>Desmodus rotundus polyomavirus 1</t>
  </si>
  <si>
    <t>Dobsonia moluccensis polyomavirus 2</t>
  </si>
  <si>
    <t>Dobsonia moluccensis polyomavirus 3</t>
  </si>
  <si>
    <t>Equus caballus polyomavirus 1</t>
  </si>
  <si>
    <t>Human polyomavirus 1</t>
  </si>
  <si>
    <t>Human polyomavirus 2</t>
  </si>
  <si>
    <t>Human polyomavirus 3</t>
  </si>
  <si>
    <t>Human polyomavirus 4</t>
  </si>
  <si>
    <t>Loxodonta africana polyomavirus 1</t>
  </si>
  <si>
    <t>Macaca mulatta polyomavirus 1</t>
  </si>
  <si>
    <t>Mastomys natalensis polyomavirus 1</t>
  </si>
  <si>
    <t>Meles meles polyomavirus 1</t>
  </si>
  <si>
    <t>Miniopterus africanus polyomavirus 1</t>
  </si>
  <si>
    <t>Mus musculus polyomavirus 2</t>
  </si>
  <si>
    <t>Myotis lucifugus polyomavirus 1</t>
  </si>
  <si>
    <t>Papio cynocephalus polyomavirus 2</t>
  </si>
  <si>
    <t>Pteronotus davyi polyomavirus 1</t>
  </si>
  <si>
    <t>Pteronotus parnellii polyomavirus 1</t>
  </si>
  <si>
    <t>Saimiri boliviensis polyomavirus 1</t>
  </si>
  <si>
    <t>Saimiri sciureus polyomavirus 1</t>
  </si>
  <si>
    <t>Zalophus californianus polyomavirus 1</t>
  </si>
  <si>
    <t>Deltapolyomavirus</t>
  </si>
  <si>
    <t>Human polyomavirus 6</t>
  </si>
  <si>
    <t>Human polyomavirus 7</t>
  </si>
  <si>
    <t>Human polyomavirus 10</t>
  </si>
  <si>
    <t>Human polyomavirus 11</t>
  </si>
  <si>
    <t>Gammapolyomavirus</t>
  </si>
  <si>
    <t>Anser anser polyomavirus 1</t>
  </si>
  <si>
    <t>Aves polyomavirus 1</t>
  </si>
  <si>
    <t>Corvus monedula polyomavirus 1</t>
  </si>
  <si>
    <t>Cracticus torquatus polyomavirus 1</t>
  </si>
  <si>
    <t>Pygoscelis adeliae polyomavirus 1</t>
  </si>
  <si>
    <t>Pyrrhula pyrrhula polyomavirus 1</t>
  </si>
  <si>
    <t>Serinus canaria polyomavirus 1</t>
  </si>
  <si>
    <t>Bos taurus polyomavirus 1</t>
  </si>
  <si>
    <t>Centropristis striata polyomavirus 1</t>
  </si>
  <si>
    <t>Delphinus delphis polyomavirus 1</t>
  </si>
  <si>
    <t>Caladenia virus A</t>
  </si>
  <si>
    <t>Catharanthus mosaic virus</t>
  </si>
  <si>
    <t>Donkey orchid virus A</t>
  </si>
  <si>
    <t>Sunflower mild mosaic virus</t>
  </si>
  <si>
    <t>Tamarillo leaf malformation virus</t>
  </si>
  <si>
    <t>Vanilla distortion mosaic virus</t>
  </si>
  <si>
    <t>Southern rice black-streaked dwarf virus</t>
  </si>
  <si>
    <t>Piscine orthoreovirus</t>
  </si>
  <si>
    <t>Sarthroviridae</t>
  </si>
  <si>
    <t>Macronovirus</t>
  </si>
  <si>
    <t>Macrobrachium satellite virus 1</t>
  </si>
  <si>
    <t>Thermus virus IN93</t>
  </si>
  <si>
    <t>Thermus virus P23-77</t>
  </si>
  <si>
    <t>Bacillus virus AP50</t>
  </si>
  <si>
    <t>Bacillus virus Bam35</t>
  </si>
  <si>
    <t>Alphacarmovirus</t>
  </si>
  <si>
    <t>Yam spherical virus</t>
  </si>
  <si>
    <t>Betacarmovirus</t>
  </si>
  <si>
    <t>Gammacarmovirus</t>
  </si>
  <si>
    <t>Pelarspovirus</t>
  </si>
  <si>
    <t>Albetovirus</t>
  </si>
  <si>
    <t>Tobacco albetovirus 1</t>
  </si>
  <si>
    <t>Tobacco albetovirus 2</t>
  </si>
  <si>
    <t>Tobacco albetovirus 3</t>
  </si>
  <si>
    <t>Aumaivirus</t>
  </si>
  <si>
    <t>Maize aumaivirus 1</t>
  </si>
  <si>
    <t>Botybirnavirus</t>
  </si>
  <si>
    <t>Botrytis porri botybirnavirus 1</t>
  </si>
  <si>
    <t>Papanivirus</t>
  </si>
  <si>
    <t>Panicum papanivirus 1</t>
  </si>
  <si>
    <t>Sinaivirus</t>
  </si>
  <si>
    <t>Lake Sinai virus 1</t>
  </si>
  <si>
    <t>Lake Sinai virus 2</t>
  </si>
  <si>
    <t>Artemisia virus A</t>
  </si>
  <si>
    <t>Cymbidium chlorotic mosaic virus</t>
  </si>
  <si>
    <t>Papaya lethal yellowing virus</t>
  </si>
  <si>
    <t>Rottboellia yellow mottle virus</t>
  </si>
  <si>
    <t>Soybean yellow common mosaic virus</t>
  </si>
  <si>
    <t>Virtovirus</t>
  </si>
  <si>
    <t>Tobacco virtovirus 1</t>
  </si>
  <si>
    <t>Goravirus</t>
  </si>
  <si>
    <t>Drakaea virus A</t>
  </si>
  <si>
    <t>Gentian ovary ringspot virus</t>
  </si>
  <si>
    <t>Metapneumovirus</t>
  </si>
  <si>
    <t>Kotonkan ephemerovirus</t>
  </si>
  <si>
    <t>Dyoomegapapillomavirus</t>
  </si>
  <si>
    <t>Spreadsheet Column Name</t>
  </si>
  <si>
    <t>Definition</t>
  </si>
  <si>
    <t>An 'Order' is the highest taxonomic level into which virus species can be classified. Use of the taxonomic level Order is optional.  If 'Unassigned' has been entered, the taxon has not been assigned to an Order</t>
  </si>
  <si>
    <t>A  'Family' is a level in the taxonomic hierarchy into which virus species can be classified.  If marked 'Unassigned' (which is rare) the lower taxonomic level of 'Genus' has not been assigned to a Family</t>
  </si>
  <si>
    <t>A  'Subfamily' is a level in the taxonomic hierarchy into which virus species can be classified. Use of the taxonomic level Subfamily is optional. If left blank, the lower  taxonomic levels of genus and/or species have not been assigned to a Subfamily</t>
  </si>
  <si>
    <t>A  'Genus' is a level in the taxonomic hierarchy into which virus species can be classified.  If 'Unassigned' (which is rare) that species has not been assigned to a Genus.</t>
  </si>
  <si>
    <r>
      <t xml:space="preserve">A Species is the lowest taxonomic level in the hierarchy approved by the ICTV. While subspecies levels of classification may exist for some viruses species (e.g. </t>
    </r>
    <r>
      <rPr>
        <i/>
        <sz val="12"/>
        <color indexed="8"/>
        <rFont val="Arial"/>
        <family val="2"/>
      </rPr>
      <t>Hepatitis C virus</t>
    </r>
    <r>
      <rPr>
        <sz val="12"/>
        <color indexed="8"/>
        <rFont val="Arial"/>
        <family val="2"/>
      </rPr>
      <t>), the ICTV does not discuss or approve the classification of viruses below the species level.</t>
    </r>
  </si>
  <si>
    <t>One 'Type Species' is chosen for each Genus to serve as an example of a well characterized species for that Genus. If the value in this column is '1', this indicates that this species has been chosen as the type species for its genus.</t>
  </si>
  <si>
    <t>The nature (molecular and genetic composition) of the virus genome packaged into the virion. Possible values are:
- dsDNA
- ssDNA
- ssDNA(-)
- ssDNA(+)
- ssDNA(+/-)
- dsDNA-RT
- ssRNA-RT
- dsRNA
- ssRNA(-)
- ssRNA(+)
- ssRNA(+/-)
- Viroid</t>
  </si>
  <si>
    <t>The last change made to each virus species across the entire history of the taxon. Possible changes include a combination of the following:
- Abolished
- Merged
- Moved
- New
- Promoted
- Renamed
- Split
- Assigned as Type Species</t>
  </si>
  <si>
    <t>The release number of the Master Species List (MSL) where the Last Change occurred. See http://www.ictvonline.org/taxonomyReleases.asp for a list of MSLs and their year of release.</t>
  </si>
  <si>
    <t>The file name of the taxonomic proposal that details the justification for the last change. Proposals can be retrieved by appending the file nameand '.pdf' to the end of the following url: http://www.ictvonline.org/proposals/&lt;replace with file name.pdf&gt;</t>
  </si>
  <si>
    <t>The web url link that provides the complete taxonomic history of the species. The proposal indicated above can be downloaded from the link provided by the last changed entry in the history.</t>
  </si>
  <si>
    <t>MSL of Last Change</t>
  </si>
  <si>
    <t>European mountain ash ringspot-associated emaravirus</t>
  </si>
  <si>
    <t>Fig mosaic emaravirus</t>
  </si>
  <si>
    <t>High Plains wheat mosaic emaravirus</t>
  </si>
  <si>
    <t>Pigeonpea sterility mosaic emaravirus 1</t>
  </si>
  <si>
    <t>Raspberry leaf blotch emaravirus</t>
  </si>
  <si>
    <t>Rose rosette emaravirus</t>
  </si>
  <si>
    <t>Andes orthohantavirus</t>
  </si>
  <si>
    <t>Bayou orthohantavirus</t>
  </si>
  <si>
    <t>Black Creek Canal orthohantavirus</t>
  </si>
  <si>
    <t>Cano Delgadito orthohantavirus</t>
  </si>
  <si>
    <t>Dobrava-Belgrade orthohantavirus</t>
  </si>
  <si>
    <t>El Moro Canyon orthohantavirus</t>
  </si>
  <si>
    <t>Hantaan orthohantavirus</t>
  </si>
  <si>
    <t>Khabarovsk orthohantavirus</t>
  </si>
  <si>
    <t>Laguna Negra orthohantavirus</t>
  </si>
  <si>
    <t>Prospect Hill orthohantavirus</t>
  </si>
  <si>
    <t>Puumala orthohantavirus</t>
  </si>
  <si>
    <t>Sangassou orthohantavirus</t>
  </si>
  <si>
    <t>Seoul orthohantavirus</t>
  </si>
  <si>
    <t>Sin Nombre orthohantavirus</t>
  </si>
  <si>
    <t>Thailand orthohantavirus</t>
  </si>
  <si>
    <t>Tula orthohantavirus</t>
  </si>
  <si>
    <t>Crimean-Congo hemorrhagic fever orthonairovirus</t>
  </si>
  <si>
    <t>Dera Ghazi Khan orthonairovirus</t>
  </si>
  <si>
    <t>Dugbe orthonairovirus</t>
  </si>
  <si>
    <t>Hughes orthonairovirus</t>
  </si>
  <si>
    <t>Qalyub orthonairovirus</t>
  </si>
  <si>
    <t>Sakhalin orthonairovirus</t>
  </si>
  <si>
    <t>Thiafora orthonairovirus</t>
  </si>
  <si>
    <t>Echinochloa hoja blanca tenuivirus</t>
  </si>
  <si>
    <t>Iranian wheat stripe tenuivirus</t>
  </si>
  <si>
    <t>Maize stripe tenuivirus</t>
  </si>
  <si>
    <t>Rice grassy stunt tenuivirus</t>
  </si>
  <si>
    <t>Rice hoja blanca tenuivirus</t>
  </si>
  <si>
    <t>Rice stripe tenuivirus</t>
  </si>
  <si>
    <t>Urochloa hoja blanca tenuivirus</t>
  </si>
  <si>
    <t>Alphaendornavirus</t>
  </si>
  <si>
    <t>Basella alba alphaendornavirus 1</t>
  </si>
  <si>
    <t>Bell pepper alphaendornavirus</t>
  </si>
  <si>
    <t>Helicobasidium mompa alphaendornavirus 1</t>
  </si>
  <si>
    <t>Oryza rufipogon alphaendornavirus</t>
  </si>
  <si>
    <t>Oryza sativa alphaendornavirus</t>
  </si>
  <si>
    <t>Persea americana alphaendornavirus 1</t>
  </si>
  <si>
    <t>Phaseolus vulgaris alphaendornavirus 1</t>
  </si>
  <si>
    <t>Phaseolus vulgaris alphaendornavirus 2</t>
  </si>
  <si>
    <t>Phytophthora alphaendornavirus 1</t>
  </si>
  <si>
    <t>Vicia faba alphaendornavirus</t>
  </si>
  <si>
    <t>Yerba mate alphaendornavirus</t>
  </si>
  <si>
    <t>Bunyavirales</t>
  </si>
  <si>
    <t>Fimoviridae</t>
  </si>
  <si>
    <t>Hantaviridae</t>
  </si>
  <si>
    <t>Orthohantavirus</t>
  </si>
  <si>
    <t>Nairoviridae</t>
  </si>
  <si>
    <t>Orthonairovirus</t>
  </si>
  <si>
    <t>Peribunyaviridae</t>
  </si>
  <si>
    <t>Phenuiviridae</t>
  </si>
  <si>
    <t>Ounavirinae</t>
  </si>
  <si>
    <t>Elvirus</t>
  </si>
  <si>
    <t>Bclasvirinae</t>
  </si>
  <si>
    <t>Acadianvirus</t>
  </si>
  <si>
    <t>Coopervirus</t>
  </si>
  <si>
    <t>Pipefishvirus</t>
  </si>
  <si>
    <t>Rosebushvirus</t>
  </si>
  <si>
    <t>Salmonella virus f18SE</t>
  </si>
  <si>
    <t>Mclasvirinae</t>
  </si>
  <si>
    <t>Bongovirus</t>
  </si>
  <si>
    <t>Pclasvirinae</t>
  </si>
  <si>
    <t>Fishburnevirus</t>
  </si>
  <si>
    <t>Patiencevirus</t>
  </si>
  <si>
    <t>Hapavirus</t>
  </si>
  <si>
    <t>Flanders hapavirus</t>
  </si>
  <si>
    <t>Ngaingan hapavirus</t>
  </si>
  <si>
    <t>Wongabel hapavirus</t>
  </si>
  <si>
    <t>Betaendornavirus</t>
  </si>
  <si>
    <t>Sclerotinia sclerotiorum betaendornavirus 1</t>
  </si>
  <si>
    <t>Fibrovirus</t>
  </si>
  <si>
    <t>Lineavirus</t>
  </si>
  <si>
    <t>Saetivirus</t>
  </si>
  <si>
    <t>Vespertiliovirus</t>
  </si>
  <si>
    <t>Alphairidovirinae</t>
  </si>
  <si>
    <t>Betairidovirinae</t>
  </si>
  <si>
    <t>Tristromaviridae</t>
  </si>
  <si>
    <t>Alphatristromavirus</t>
  </si>
  <si>
    <t>Actinidia chlorotic ringspot-associated emaravirus</t>
  </si>
  <si>
    <t>Pigeonpea sterility mosaic emaravirus 2</t>
  </si>
  <si>
    <t>Redbud yellow ringspot-associated emaravirus</t>
  </si>
  <si>
    <t>Asama orthohantavirus</t>
  </si>
  <si>
    <t>Asikkala orthohantavirus</t>
  </si>
  <si>
    <t>Bowe orthohantavirus</t>
  </si>
  <si>
    <t>Bruges orthohantavirus</t>
  </si>
  <si>
    <t>Cao Bang orthohantavirus</t>
  </si>
  <si>
    <t>Choclo orthohantavirus</t>
  </si>
  <si>
    <t>Dabieshan orthohantavirus</t>
  </si>
  <si>
    <t>Fugong orthohantavirus</t>
  </si>
  <si>
    <t>Fusong orthohantavirus</t>
  </si>
  <si>
    <t>Jeju orthohantavirus</t>
  </si>
  <si>
    <t>Kenkeme orthohantavirus</t>
  </si>
  <si>
    <t>Luxi orthohantavirus</t>
  </si>
  <si>
    <t>Maporal orthohantavirus</t>
  </si>
  <si>
    <t>Montano orthohantavirus</t>
  </si>
  <si>
    <t>Necocli orthohantavirus</t>
  </si>
  <si>
    <t>Oxbow orthohantavirus</t>
  </si>
  <si>
    <t>Rockport orthohantavirus</t>
  </si>
  <si>
    <t>Yakeshi orthohantavirus</t>
  </si>
  <si>
    <t>Herbevirus</t>
  </si>
  <si>
    <t>Herbert herbevirus</t>
  </si>
  <si>
    <t>Kibale herbevirus</t>
  </si>
  <si>
    <t>Tai herbevirus</t>
  </si>
  <si>
    <t>Hazara orthonairovirus</t>
  </si>
  <si>
    <t>Kasokero orthonairovirus</t>
  </si>
  <si>
    <t>Keterah orthonairovirus</t>
  </si>
  <si>
    <t>Nairobi sheep disease orthonairovirus</t>
  </si>
  <si>
    <t>Phasmaviridae</t>
  </si>
  <si>
    <t>Orthophasmavirus</t>
  </si>
  <si>
    <t>Kigluaik phantom orthophasmavirus</t>
  </si>
  <si>
    <t>Nome phantom orthophasmavirus</t>
  </si>
  <si>
    <t>Wuchang cockroach orthophasmavirus 1</t>
  </si>
  <si>
    <t>Wuhan mosquito orthophasmavirus 1</t>
  </si>
  <si>
    <t>Wuhan mosquito orthophasmavirus 2</t>
  </si>
  <si>
    <t>Goukovirus</t>
  </si>
  <si>
    <t>Cumuto goukovirus</t>
  </si>
  <si>
    <t>Gouleako goukovirus</t>
  </si>
  <si>
    <t>Yichang insect goukovirus</t>
  </si>
  <si>
    <t>Phasivirus</t>
  </si>
  <si>
    <t>Badu phasivirus</t>
  </si>
  <si>
    <t>Phasi Charoen-like phasivirus</t>
  </si>
  <si>
    <t>Wutai mosquito phasivirus</t>
  </si>
  <si>
    <t>Campylobacter virus CP30A</t>
  </si>
  <si>
    <t>Erwinia virus M7</t>
  </si>
  <si>
    <t>Escherichia virus HY02</t>
  </si>
  <si>
    <t>Escherichia virus TP1</t>
  </si>
  <si>
    <t>Mooglevirus</t>
  </si>
  <si>
    <t>Citrobacter virus Moogle</t>
  </si>
  <si>
    <t>Citrobacter virus Mordin</t>
  </si>
  <si>
    <t>Suspvirus</t>
  </si>
  <si>
    <t>Escherichia virus SUSP1</t>
  </si>
  <si>
    <t>Escherichia virus SUSP2</t>
  </si>
  <si>
    <t>Staphylococcus virus Rodi</t>
  </si>
  <si>
    <t>Staphylococcus virus S25-4</t>
  </si>
  <si>
    <t>Staphylococcus virus Stau2</t>
  </si>
  <si>
    <t>Bacillus virus Camphawk</t>
  </si>
  <si>
    <t>Tsarbombavirus</t>
  </si>
  <si>
    <t>Bacillus virus BCP78</t>
  </si>
  <si>
    <t>Bacillus virus TsarBomba</t>
  </si>
  <si>
    <t>Klebsiella virus JD18</t>
  </si>
  <si>
    <t>Klebsiella virus PKO111</t>
  </si>
  <si>
    <t>Escherichia virus QL01</t>
  </si>
  <si>
    <t>Enterobacter virus Eap3</t>
  </si>
  <si>
    <t>Klebsiella virus KP15</t>
  </si>
  <si>
    <t>Klebsiella virus KP27</t>
  </si>
  <si>
    <t>Klebsiella virus Matisse</t>
  </si>
  <si>
    <t>Klebsiella virus Miro</t>
  </si>
  <si>
    <t>Moonvirus</t>
  </si>
  <si>
    <t>Citrobacter virus Merlin</t>
  </si>
  <si>
    <t>Citrobacter virus Moon</t>
  </si>
  <si>
    <t>Escherichia virus JSE</t>
  </si>
  <si>
    <t>Escherichia virus HY01</t>
  </si>
  <si>
    <t>Cronobacter virus PBES02</t>
  </si>
  <si>
    <t>Pectobacterium virus phiTE</t>
  </si>
  <si>
    <t>Abouovirus</t>
  </si>
  <si>
    <t>Brevibacillus virus Abouo</t>
  </si>
  <si>
    <t>Brevibacillus virus Davies</t>
  </si>
  <si>
    <t>Erwinia virus Deimos</t>
  </si>
  <si>
    <t>Erwinia virus Ea35-70</t>
  </si>
  <si>
    <t>Erwinia virus RAY</t>
  </si>
  <si>
    <t>Erwinia virus Simmy50</t>
  </si>
  <si>
    <t>Erwinia virus SpecialG</t>
  </si>
  <si>
    <t>Arthrobacter virus ArV1</t>
  </si>
  <si>
    <t>Arthrobacter virus Trina</t>
  </si>
  <si>
    <t>Bacillus virus AvesoBmore</t>
  </si>
  <si>
    <t>Bacillus virus BM15</t>
  </si>
  <si>
    <t>Bacillus virus Deepblue</t>
  </si>
  <si>
    <t>Mycobacterium virus Alice</t>
  </si>
  <si>
    <t>Mycobacterium virus Bxz1</t>
  </si>
  <si>
    <t>Mycobacterium virus Dandelion</t>
  </si>
  <si>
    <t>Mycobacterium virus HyRo</t>
  </si>
  <si>
    <t>Mycobacterium virus Nappy</t>
  </si>
  <si>
    <t>Mycobacterium virus Sebata</t>
  </si>
  <si>
    <t>Jimmervirus</t>
  </si>
  <si>
    <t>Brevibacillus virus Jimmer</t>
  </si>
  <si>
    <t>Brevibacillus virus Osiris</t>
  </si>
  <si>
    <t>Sinorhizobium virus M7</t>
  </si>
  <si>
    <t>Sinorhizobium virus M12</t>
  </si>
  <si>
    <t>Sinorhizobium virus N3</t>
  </si>
  <si>
    <t>Marthavirus</t>
  </si>
  <si>
    <t>Arthrobacter virus Brent</t>
  </si>
  <si>
    <t>Arthrobacter virus Jawnski</t>
  </si>
  <si>
    <t>Arthrobacter virus Martha</t>
  </si>
  <si>
    <t>Arthrobacter virus Sonny</t>
  </si>
  <si>
    <t>Edwardsiella virus MSW3</t>
  </si>
  <si>
    <t>Edwardsiella virus PEi21</t>
  </si>
  <si>
    <t>Shigella virus SfMu</t>
  </si>
  <si>
    <t>Pseudomonas virus PA7</t>
  </si>
  <si>
    <t>Ralstonia virus RSF1</t>
  </si>
  <si>
    <t>Ralstonia virus RSL2</t>
  </si>
  <si>
    <t>Ralstonia virus RSL1</t>
  </si>
  <si>
    <t>Staphylococcus virus IPLAC1C</t>
  </si>
  <si>
    <t>Staphylococcus virus SEP1</t>
  </si>
  <si>
    <t>Salmonella virus SPN3US</t>
  </si>
  <si>
    <t>Bacillus virus BPS13</t>
  </si>
  <si>
    <t>Bacillus virus Hakuna</t>
  </si>
  <si>
    <t>Bacillus virus Megatron</t>
  </si>
  <si>
    <t>Acinetobacter virus AB3</t>
  </si>
  <si>
    <t>Acinetobacter virus Abp1</t>
  </si>
  <si>
    <t>Acinetobacter virus Fri1</t>
  </si>
  <si>
    <t>Acinetobacter virus IME200</t>
  </si>
  <si>
    <t>Acinetobacter virus PD6A3</t>
  </si>
  <si>
    <t>Acinetobacter virus PDAB9</t>
  </si>
  <si>
    <t>Acinetobacter virus phiAB1</t>
  </si>
  <si>
    <t>Escherichia virus K30</t>
  </si>
  <si>
    <t>Klebsiella virus K5</t>
  </si>
  <si>
    <t>Klebsiella virus K11</t>
  </si>
  <si>
    <t>Klebsiella virus Kp1</t>
  </si>
  <si>
    <t>Klebsiella virus KP32</t>
  </si>
  <si>
    <t>Klebsiella virus KpV289</t>
  </si>
  <si>
    <t>Klebsiella virus Kp2</t>
  </si>
  <si>
    <t>Klebsiella virus KpV41</t>
  </si>
  <si>
    <t>Klebsiella virus KpV71</t>
  </si>
  <si>
    <t>Klebsiella virus KpV475</t>
  </si>
  <si>
    <t>Pradovirus</t>
  </si>
  <si>
    <t>Xanthomonas virus f20</t>
  </si>
  <si>
    <t>Xanthomonas virus f30</t>
  </si>
  <si>
    <t>Xylella virus Prado</t>
  </si>
  <si>
    <t>Streptococcus virus Cp7</t>
  </si>
  <si>
    <t>Sepvirinae</t>
  </si>
  <si>
    <t>Escherichia virus 24B</t>
  </si>
  <si>
    <t>Escherichia virus 933W</t>
  </si>
  <si>
    <t>Escherichia virus Min27</t>
  </si>
  <si>
    <t>Escherichia virus PA28</t>
  </si>
  <si>
    <t>Escherichia virus Stx2 II</t>
  </si>
  <si>
    <t>Shigella virus 7502Stx</t>
  </si>
  <si>
    <t>Shigella virus POCJ13</t>
  </si>
  <si>
    <t>Escherichia virus 191</t>
  </si>
  <si>
    <t>Escherichia virus PA2</t>
  </si>
  <si>
    <t>Escherichia virus TL2011</t>
  </si>
  <si>
    <t>Shigella virus VASD</t>
  </si>
  <si>
    <t>Erwinia virus Ea9-2</t>
  </si>
  <si>
    <t>Erwinia virus Frozen</t>
  </si>
  <si>
    <t>Salmonella virus SPN1S</t>
  </si>
  <si>
    <t>Edwardsiella virus KF1</t>
  </si>
  <si>
    <t>Pseudomonas virus KPP25</t>
  </si>
  <si>
    <t>Pseudomonas virus R18</t>
  </si>
  <si>
    <t>Pseudomonas virus KPP21</t>
  </si>
  <si>
    <t>Pseudomonas virus LUZ7</t>
  </si>
  <si>
    <t>Escherichia virus 172-1</t>
  </si>
  <si>
    <t>Brucella virus Pr</t>
  </si>
  <si>
    <t>Brucella virus Tb</t>
  </si>
  <si>
    <t>Helicobacter virus 1961P</t>
  </si>
  <si>
    <t>Helicobacter virus KHP30</t>
  </si>
  <si>
    <t>Helicobacter virus KHP40</t>
  </si>
  <si>
    <t>Arquatrovirinae</t>
  </si>
  <si>
    <t>Camvirus</t>
  </si>
  <si>
    <t>Streptomyces virus Amela</t>
  </si>
  <si>
    <t>Streptomyces virus phiCAM</t>
  </si>
  <si>
    <t>Likavirus</t>
  </si>
  <si>
    <t>Streptomyces virus Aaronocolus</t>
  </si>
  <si>
    <t>Streptomyces virus Caliburn</t>
  </si>
  <si>
    <t>Streptomyces virus Danzina</t>
  </si>
  <si>
    <t>Streptomyces virus Hydra</t>
  </si>
  <si>
    <t>Streptomyces virus Izzy</t>
  </si>
  <si>
    <t>Streptomyces virus Lannister</t>
  </si>
  <si>
    <t>Streptomyces virus Lika</t>
  </si>
  <si>
    <t>Streptomyces virus Sujidade</t>
  </si>
  <si>
    <t>Streptomyces virus Zemlya</t>
  </si>
  <si>
    <t>Streptomyces virus ELB20</t>
  </si>
  <si>
    <t>Streptomyces virus R4</t>
  </si>
  <si>
    <t>Streptomyces virus phiHau3</t>
  </si>
  <si>
    <t>Mycobacterium virus Baee</t>
  </si>
  <si>
    <t>Mycobacterium virus Reprobate</t>
  </si>
  <si>
    <t>Mycobacterium virus Adawi</t>
  </si>
  <si>
    <t>Mycobacterium virus Bane1</t>
  </si>
  <si>
    <t>Mycobacterium virus BrownCNA</t>
  </si>
  <si>
    <t>Mycobacterium virus JAMaL</t>
  </si>
  <si>
    <t>Mycobacterium virus Vincenzo</t>
  </si>
  <si>
    <t>Mycobacterium virus Apizium</t>
  </si>
  <si>
    <t>Mycobacterium virus Manad</t>
  </si>
  <si>
    <t>Mycobacterium virus Osmaximus</t>
  </si>
  <si>
    <t>Mycobacterium virus Soto</t>
  </si>
  <si>
    <t>Mycobacterium virus Suffolk</t>
  </si>
  <si>
    <t>Mycobacterium virus Bernardo</t>
  </si>
  <si>
    <t>Mycobacterium virus Godines</t>
  </si>
  <si>
    <t>Mycobacterium virus Brusacoram</t>
  </si>
  <si>
    <t>Mycobacterium virus Donovan</t>
  </si>
  <si>
    <t>Mycobacterium virus Fishburne</t>
  </si>
  <si>
    <t>Mycobacterium virus Malithi</t>
  </si>
  <si>
    <t>Phayoncevirus</t>
  </si>
  <si>
    <t>Mycobacterium virus Phayonce</t>
  </si>
  <si>
    <t>Klebsiella virus KLPN1</t>
  </si>
  <si>
    <t>Klebsiella virus PKP126</t>
  </si>
  <si>
    <t>Klebsiella virus Sushi</t>
  </si>
  <si>
    <t>Escherichia virus C119</t>
  </si>
  <si>
    <t>Escherichia virus JMPW1</t>
  </si>
  <si>
    <t>Escherichia virus JMPW2</t>
  </si>
  <si>
    <t>Pseudomonas virus Ab18</t>
  </si>
  <si>
    <t>Pseudomonas virus Ab19</t>
  </si>
  <si>
    <t>Pseudomonas virus PaMx11</t>
  </si>
  <si>
    <t>Amigovirus</t>
  </si>
  <si>
    <t>Arthrobacter virus Amigo</t>
  </si>
  <si>
    <t>Mycobacterium virus Bernal13</t>
  </si>
  <si>
    <t>Lactobacillus virus Ld3</t>
  </si>
  <si>
    <t>Lactobacillus virus Ld17</t>
  </si>
  <si>
    <t>Lactobacillus virus Ld25A</t>
  </si>
  <si>
    <t>Lactobacillus virus phiLdb</t>
  </si>
  <si>
    <t>Cronusvirus</t>
  </si>
  <si>
    <t>Rhodobacter virus RcCronus</t>
  </si>
  <si>
    <t>Decurrovirus</t>
  </si>
  <si>
    <t>Arthrobacter virus Decurro</t>
  </si>
  <si>
    <t>Demosthenesvirus</t>
  </si>
  <si>
    <t>Gordonia virus Demosthenes</t>
  </si>
  <si>
    <t>Gordonia virus Katyusha</t>
  </si>
  <si>
    <t>Gordonia virus Kvothe</t>
  </si>
  <si>
    <t>Eiauvirus</t>
  </si>
  <si>
    <t>Edwardsiella virus eiAU</t>
  </si>
  <si>
    <t>Gaiavirus</t>
  </si>
  <si>
    <t>Mycobacterium virus Gaia</t>
  </si>
  <si>
    <t>Gilesvirus</t>
  </si>
  <si>
    <t>Mycobacterium virus Giles</t>
  </si>
  <si>
    <t>Gordonvirus</t>
  </si>
  <si>
    <t>Arthrobacter virus Captnmurica</t>
  </si>
  <si>
    <t>Arthrobacter virus Gordon</t>
  </si>
  <si>
    <t>Gordtnkvirus</t>
  </si>
  <si>
    <t>Gordonia virus GordTnk2</t>
  </si>
  <si>
    <t>Harrisonvirus</t>
  </si>
  <si>
    <t>Paenibacillus virus Harrison</t>
  </si>
  <si>
    <t>Escherichia virus EK99P1</t>
  </si>
  <si>
    <t>Escherichia virus YD2008s</t>
  </si>
  <si>
    <t>Jenstvirus</t>
  </si>
  <si>
    <t>Brevibacillus virus Jenst</t>
  </si>
  <si>
    <t>Achromobacter virus 83-24</t>
  </si>
  <si>
    <t>Achromobacter virus JWX</t>
  </si>
  <si>
    <t>Kelleziovirus</t>
  </si>
  <si>
    <t>Arthrobacter virus Kellezzio</t>
  </si>
  <si>
    <t>Arthrobacter virus Kitkat</t>
  </si>
  <si>
    <t>Korravirus</t>
  </si>
  <si>
    <t>Arthrobacter virus Bennie</t>
  </si>
  <si>
    <t>Arthrobacter virus DrRobert</t>
  </si>
  <si>
    <t>Arthrobacter virus Glenn</t>
  </si>
  <si>
    <t>Arthrobacter virus HunterDalle</t>
  </si>
  <si>
    <t>Arthrobacter virus Joann</t>
  </si>
  <si>
    <t>Arthrobacter virus Korra</t>
  </si>
  <si>
    <t>Arthrobacter virus Preamble</t>
  </si>
  <si>
    <t>Arthrobacter virus Pumancara</t>
  </si>
  <si>
    <t>Arthrobacter virus Wayne</t>
  </si>
  <si>
    <t>Laroyevirus</t>
  </si>
  <si>
    <t>Arthrobacter virus Laroye</t>
  </si>
  <si>
    <t>Marvinvirus</t>
  </si>
  <si>
    <t>Mycobacterium virus Marvin</t>
  </si>
  <si>
    <t>Mycobacterium virus Mosmoris</t>
  </si>
  <si>
    <t>Mudcatvirus</t>
  </si>
  <si>
    <t>Arthrobacter virus Circum</t>
  </si>
  <si>
    <t>Arthrobacter virus Mudcat</t>
  </si>
  <si>
    <t>Pseudomonas virus NP1</t>
  </si>
  <si>
    <t>Pseudomonas virus PaMx25</t>
  </si>
  <si>
    <t>Polaribacter virus P12002L</t>
  </si>
  <si>
    <t>Polaribacter virus P12002S</t>
  </si>
  <si>
    <t>Nonlabens virus P12024L</t>
  </si>
  <si>
    <t>Nonlabens virus P12024S</t>
  </si>
  <si>
    <t>Propionibacterium virus ATCC29399BC</t>
  </si>
  <si>
    <t>Propionibacterium virus ATCC29399BT</t>
  </si>
  <si>
    <t>Propionibacterium virus Attacne</t>
  </si>
  <si>
    <t>Propionibacterium virus Keiki</t>
  </si>
  <si>
    <t>Propionibacterium virus Kubed</t>
  </si>
  <si>
    <t>Propionibacterium virus Lauchelly</t>
  </si>
  <si>
    <t>Propionibacterium virus MrAK</t>
  </si>
  <si>
    <t>Propionibacterium virus Ouroboros</t>
  </si>
  <si>
    <t>Propionibacterium virus P91</t>
  </si>
  <si>
    <t>Propionibacterium virus P105</t>
  </si>
  <si>
    <t>Propionibacterium virus P144</t>
  </si>
  <si>
    <t>Propionibacterium virus P1001</t>
  </si>
  <si>
    <t>Propionibacterium virus P1.1</t>
  </si>
  <si>
    <t>Propionibacterium virus P100A</t>
  </si>
  <si>
    <t>Propionibacterium virus P100D</t>
  </si>
  <si>
    <t>Propionibacterium virus P101A</t>
  </si>
  <si>
    <t>Propionibacterium virus P104A</t>
  </si>
  <si>
    <t>Propionibacterium virus PA6</t>
  </si>
  <si>
    <t>Propionibacterium virus Pacnes201215</t>
  </si>
  <si>
    <t>Propionibacterium virus PAD20</t>
  </si>
  <si>
    <t>Propionibacterium virus PAS50</t>
  </si>
  <si>
    <t>Propionibacterium virus PHL009M11</t>
  </si>
  <si>
    <t>Propionibacterium virus PHL025M00</t>
  </si>
  <si>
    <t>Propionibacterium virus PHL037M02</t>
  </si>
  <si>
    <t>Propionibacterium virus PHL041M10</t>
  </si>
  <si>
    <t>Propionibacterium virus PHL060L00</t>
  </si>
  <si>
    <t>Propionibacterium virus PHL067M01</t>
  </si>
  <si>
    <t>Propionibacterium virus PHL070N00</t>
  </si>
  <si>
    <t>Propionibacterium virus PHL071N05</t>
  </si>
  <si>
    <t>Propionibacterium virus PHL082M03</t>
  </si>
  <si>
    <t>Propionibacterium virus PHL092M00</t>
  </si>
  <si>
    <t>Propionibacterium virus PHL095N00</t>
  </si>
  <si>
    <t>Propionibacterium virus PHL111M01</t>
  </si>
  <si>
    <t>Propionibacterium virus PHL112N00</t>
  </si>
  <si>
    <t>Propionibacterium virus PHL113M01</t>
  </si>
  <si>
    <t>Propionibacterium virus PHL114L00</t>
  </si>
  <si>
    <t>Propionibacterium virus PHL116M00</t>
  </si>
  <si>
    <t>Propionibacterium virus PHL117M00</t>
  </si>
  <si>
    <t>Propionibacterium virus PHL117M01</t>
  </si>
  <si>
    <t>Propionibacterium virus PHL132N00</t>
  </si>
  <si>
    <t>Propionibacterium virus PHL141N00</t>
  </si>
  <si>
    <t>Propionibacterium virus PHL151M00</t>
  </si>
  <si>
    <t>Propionibacterium virus PHL151N00</t>
  </si>
  <si>
    <t>Propionibacterium virus PHL152M00</t>
  </si>
  <si>
    <t>Propionibacterium virus PHL163M00</t>
  </si>
  <si>
    <t>Propionibacterium virus PHL171M01</t>
  </si>
  <si>
    <t>Propionibacterium virus PHL179M00</t>
  </si>
  <si>
    <t>Propionibacterium virus PHL194M00</t>
  </si>
  <si>
    <t>Propionibacterium virus PHL199M00</t>
  </si>
  <si>
    <t>Propionibacterium virus PHL301M00</t>
  </si>
  <si>
    <t>Propionibacterium virus PHL308M00</t>
  </si>
  <si>
    <t>Propionibacterium virus Pirate</t>
  </si>
  <si>
    <t>Propionibacterium virus Procrass1</t>
  </si>
  <si>
    <t>Propionibacterium virus SKKY</t>
  </si>
  <si>
    <t>Propionibacterium virus Solid</t>
  </si>
  <si>
    <t>Propionibacterium virus Stormborn</t>
  </si>
  <si>
    <t>Propionibacterium virus Wizzo</t>
  </si>
  <si>
    <t>Pseudomonas virus PaMx28</t>
  </si>
  <si>
    <t>Pseudomonas virus PaMx74</t>
  </si>
  <si>
    <t>Rhodococcus virus Pepy6</t>
  </si>
  <si>
    <t>Rhodococcus virus Poco6</t>
  </si>
  <si>
    <t>Aeromonas virus pIS4A</t>
  </si>
  <si>
    <t>Roseobacter virus RDJL1</t>
  </si>
  <si>
    <t>Roseobacter virus RDJL2</t>
  </si>
  <si>
    <t>Mycobacterium virus Papyrus</t>
  </si>
  <si>
    <t>Mycobacterium virus Send513</t>
  </si>
  <si>
    <t>Paenibacillus virus Willow</t>
  </si>
  <si>
    <t>Smoothievirus</t>
  </si>
  <si>
    <t>Gordonia virus Bachita</t>
  </si>
  <si>
    <t>Gordonia virus ClubL</t>
  </si>
  <si>
    <t>Gordonia virus OneUp</t>
  </si>
  <si>
    <t>Gordonia virus Smoothie</t>
  </si>
  <si>
    <t>Soupsvirus</t>
  </si>
  <si>
    <t>Gordonia virus Soups</t>
  </si>
  <si>
    <t>Escherichia virus slur09</t>
  </si>
  <si>
    <t>Salmonella virus 118970sal2</t>
  </si>
  <si>
    <t>Tankvirus</t>
  </si>
  <si>
    <t>Arthrobacter virus Tank</t>
  </si>
  <si>
    <t>Tsukamurella virus TIN2</t>
  </si>
  <si>
    <t>Tsukamurella virus TIN3</t>
  </si>
  <si>
    <t>Tsukamurella virus TIN4</t>
  </si>
  <si>
    <t>Titanvirus</t>
  </si>
  <si>
    <t>Rhodobacter virus RcSpartan</t>
  </si>
  <si>
    <t>Rhodobacter virus RcTitan</t>
  </si>
  <si>
    <t>Vegasvirus</t>
  </si>
  <si>
    <t>Paenibacillus virus Vegas</t>
  </si>
  <si>
    <t>Vendettavirus</t>
  </si>
  <si>
    <t>Gordonia virus Vendetta</t>
  </si>
  <si>
    <t>Wildcatvirus</t>
  </si>
  <si>
    <t>Mycobacterium virus Wildcat</t>
  </si>
  <si>
    <t>Woesvirus</t>
  </si>
  <si>
    <t>Gordonia virus Hotorobo</t>
  </si>
  <si>
    <t>Gordonia virus Monty</t>
  </si>
  <si>
    <t>Gordonia virus Woes</t>
  </si>
  <si>
    <t>Streptomyces virus TP1604</t>
  </si>
  <si>
    <t>Streptomyces virus YDN12</t>
  </si>
  <si>
    <t>Pseudomonas virus LKO4</t>
  </si>
  <si>
    <t>Pseudomonas virus MP1412</t>
  </si>
  <si>
    <t>Pseudomonas virus PAE1</t>
  </si>
  <si>
    <t>Peropuvirus</t>
  </si>
  <si>
    <t>Pteromalus puparum peropuvirus</t>
  </si>
  <si>
    <t>Almendravirus</t>
  </si>
  <si>
    <t>Arboretum almendravirus</t>
  </si>
  <si>
    <t>Balsa almendravirus</t>
  </si>
  <si>
    <t>Coot Bay almendravirus</t>
  </si>
  <si>
    <t>Puerto Almendras almendravirus</t>
  </si>
  <si>
    <t>Rio Chico almendravirus</t>
  </si>
  <si>
    <t>Curiovirus</t>
  </si>
  <si>
    <t>Curionopolis curiovirus</t>
  </si>
  <si>
    <t>Iriri curiovirus</t>
  </si>
  <si>
    <t>Itacaiunas curiovirus</t>
  </si>
  <si>
    <t>Rochambeau curiovirus</t>
  </si>
  <si>
    <t>Colocasia bobone disease-associated cytorhabdovirus</t>
  </si>
  <si>
    <t>Kimberley ephemerovirus</t>
  </si>
  <si>
    <t>Koolpinyah ephemerovirus</t>
  </si>
  <si>
    <t>Yata ephemerovirus</t>
  </si>
  <si>
    <t>Gray Lodge hapavirus</t>
  </si>
  <si>
    <t>Hart Park hapavirus</t>
  </si>
  <si>
    <t>Joinjakaka hapavirus</t>
  </si>
  <si>
    <t>Kamese hapavirus</t>
  </si>
  <si>
    <t>La Joya hapavirus</t>
  </si>
  <si>
    <t>Landjia hapavirus</t>
  </si>
  <si>
    <t>Manitoba hapavirus</t>
  </si>
  <si>
    <t>Marco hapavirus</t>
  </si>
  <si>
    <t>Mosqueiro hapavirus</t>
  </si>
  <si>
    <t>Mossuril hapavirus</t>
  </si>
  <si>
    <t>Ord River hapavirus</t>
  </si>
  <si>
    <t>Parry Creek hapavirus</t>
  </si>
  <si>
    <t>Ledantevirus</t>
  </si>
  <si>
    <t>Barur ledantevirus</t>
  </si>
  <si>
    <t>Fikirini ledantevirus</t>
  </si>
  <si>
    <t>Fukuoka ledantevirus</t>
  </si>
  <si>
    <t>Kern Canyon ledantevirus</t>
  </si>
  <si>
    <t>Keuraliba ledantevirus</t>
  </si>
  <si>
    <t>Kolente ledantevirus</t>
  </si>
  <si>
    <t>Kumasi ledantevirus</t>
  </si>
  <si>
    <t>Le Dantec ledantevirus</t>
  </si>
  <si>
    <t>Mount Elgon bat ledantevirus</t>
  </si>
  <si>
    <t>Nishimuro ledantevirus</t>
  </si>
  <si>
    <t>Nkolbisson ledantevirus</t>
  </si>
  <si>
    <t>Oita ledantevirus</t>
  </si>
  <si>
    <t>Wuhan ledantevirus</t>
  </si>
  <si>
    <t>Yongjia ledantevirus</t>
  </si>
  <si>
    <t>Sripuvirus</t>
  </si>
  <si>
    <t>Almpiwar sripuvirus</t>
  </si>
  <si>
    <t>Chaco sripuvirus</t>
  </si>
  <si>
    <t>Niakha sripuvirus</t>
  </si>
  <si>
    <t>Sena Madureira sripuvirus</t>
  </si>
  <si>
    <t>Sripur sripuvirus</t>
  </si>
  <si>
    <t>Bas-Congo tibrovirus</t>
  </si>
  <si>
    <t>Ekpoma 1 tibrovirus</t>
  </si>
  <si>
    <t>Ekpoma 2 tibrovirus</t>
  </si>
  <si>
    <t>Sweetwater Branch tibrovirus</t>
  </si>
  <si>
    <t>Klamath tupavirus</t>
  </si>
  <si>
    <t>American bat vesiculovirus</t>
  </si>
  <si>
    <t>Jurona vesiculovirus</t>
  </si>
  <si>
    <t>Malpais Spring vesiculovirus</t>
  </si>
  <si>
    <t>Morreton vesiculovirus</t>
  </si>
  <si>
    <t>Perinet vesiculovirus</t>
  </si>
  <si>
    <t>Radi vesiculovirus</t>
  </si>
  <si>
    <t>Yug Bogdanovac vesiculovirus</t>
  </si>
  <si>
    <t>Bovine nidovirus 1</t>
  </si>
  <si>
    <t>Chinook salmon nidovirus 1</t>
  </si>
  <si>
    <t>Brevicoryne brassicae virus</t>
  </si>
  <si>
    <t>Ampivirus</t>
  </si>
  <si>
    <t>Ampivirus A</t>
  </si>
  <si>
    <t>Avisivirus B</t>
  </si>
  <si>
    <t>Avisivirus C</t>
  </si>
  <si>
    <t>Cosavirus B</t>
  </si>
  <si>
    <t>Cosavirus D</t>
  </si>
  <si>
    <t>Cosavirus E</t>
  </si>
  <si>
    <t>Cosavirus F</t>
  </si>
  <si>
    <t>Enterovirus I</t>
  </si>
  <si>
    <t>Harkavirus</t>
  </si>
  <si>
    <t>Harkavirus A</t>
  </si>
  <si>
    <t>Hepatovirus B</t>
  </si>
  <si>
    <t>Hepatovirus C</t>
  </si>
  <si>
    <t>Hepatovirus D</t>
  </si>
  <si>
    <t>Hepatovirus E</t>
  </si>
  <si>
    <t>Hepatovirus F</t>
  </si>
  <si>
    <t>Hepatovirus G</t>
  </si>
  <si>
    <t>Hepatovirus H</t>
  </si>
  <si>
    <t>Hepatovirus I</t>
  </si>
  <si>
    <t>Aichivirus D</t>
  </si>
  <si>
    <t>Aichivirus E</t>
  </si>
  <si>
    <t>Aichivirus F</t>
  </si>
  <si>
    <t>Mischivirus B</t>
  </si>
  <si>
    <t>Mischivirus C</t>
  </si>
  <si>
    <t>Parechovirus C</t>
  </si>
  <si>
    <t>Parechovirus D</t>
  </si>
  <si>
    <t>Rabovirus</t>
  </si>
  <si>
    <t>Rabovirus A</t>
  </si>
  <si>
    <t>Torchivirus</t>
  </si>
  <si>
    <t>Torchivirus A</t>
  </si>
  <si>
    <t>Currant latent virus</t>
  </si>
  <si>
    <t>Squash chlorotic leaf spot virus</t>
  </si>
  <si>
    <t>Chocolate lily virus A</t>
  </si>
  <si>
    <t>Bellflower vein chlorosis virus</t>
  </si>
  <si>
    <t>Nectarine marafivirus M</t>
  </si>
  <si>
    <t>Tomato blistering mosaic tymovirus</t>
  </si>
  <si>
    <t>Lizard atadenovirus A</t>
  </si>
  <si>
    <t>Psittacine atadenovirus A</t>
  </si>
  <si>
    <t>Dolphin mastadenovirus A</t>
  </si>
  <si>
    <t>Platyrrhini mastadenovirus A</t>
  </si>
  <si>
    <t>Sea lion mastadenovirus A</t>
  </si>
  <si>
    <t>Simian mastadenovirus D</t>
  </si>
  <si>
    <t>Simian mastadenovirus E</t>
  </si>
  <si>
    <t>Simian mastadenovirus F</t>
  </si>
  <si>
    <t>Simian mastadenovirus G</t>
  </si>
  <si>
    <t>Simian mastadenovirus H</t>
  </si>
  <si>
    <t>Skunk mastadenovirus A</t>
  </si>
  <si>
    <t>Penguin siadenovirus A</t>
  </si>
  <si>
    <t>Loei River mammarenavirus</t>
  </si>
  <si>
    <t>Solwezi mammarenavirus</t>
  </si>
  <si>
    <t>Catopsilia pomona nucleopolyhedrovirus</t>
  </si>
  <si>
    <t>Choristoneura murinana nucleopolyhedrovirus</t>
  </si>
  <si>
    <t>Lambdina fiscellaria nucleopolyhedrovirus</t>
  </si>
  <si>
    <t>Lymantria xylina nucleopolyhedrovirus</t>
  </si>
  <si>
    <t>Orgyia leucostigma nucleopolyhedrovirus</t>
  </si>
  <si>
    <t>Clostera anachoreta granulovirus</t>
  </si>
  <si>
    <t>Clostera anastomosis granulovirus A</t>
  </si>
  <si>
    <t>Clostera anastomosis granulovirus B</t>
  </si>
  <si>
    <t>Diatraea saccharalis granulovirus</t>
  </si>
  <si>
    <t>Epinotia aporema granulovirus</t>
  </si>
  <si>
    <t>Spodoptera litura granulovirus</t>
  </si>
  <si>
    <t>Mulberry badnavirus 1</t>
  </si>
  <si>
    <t>Taro bacilliform CH virus</t>
  </si>
  <si>
    <t>Yacon necrotic mottle virus</t>
  </si>
  <si>
    <t>Atractylodes mild mottle virus</t>
  </si>
  <si>
    <t>Bat associated circovirus 4</t>
  </si>
  <si>
    <t>Bat associated circovirus 5</t>
  </si>
  <si>
    <t>Bat associated circovirus 6</t>
  </si>
  <si>
    <t>Bat associated circovirus 7</t>
  </si>
  <si>
    <t>Bat associated circovirus 8</t>
  </si>
  <si>
    <t>Bat associated cyclovirus 6</t>
  </si>
  <si>
    <t>Bat associated cyclovirus 7</t>
  </si>
  <si>
    <t>Bat associated cyclovirus 8</t>
  </si>
  <si>
    <t>Bat associated cyclovirus 9</t>
  </si>
  <si>
    <t>Bat associated cyclovirus 10</t>
  </si>
  <si>
    <t>Bat associated cyclovirus 11</t>
  </si>
  <si>
    <t>Bat associated cyclovirus 12</t>
  </si>
  <si>
    <t>Bat associated cyclovirus 13</t>
  </si>
  <si>
    <t>Bat associated cyclovirus 14</t>
  </si>
  <si>
    <t>Bat associated cyclovirus 15</t>
  </si>
  <si>
    <t>Bat associated cyclovirus 16</t>
  </si>
  <si>
    <t>Feline associated cyclovirus 1</t>
  </si>
  <si>
    <t>Horse associated cyclovirus 1</t>
  </si>
  <si>
    <t>Human associated cyclovirus 11</t>
  </si>
  <si>
    <t>Squirrel associated cyclovirus 1</t>
  </si>
  <si>
    <t>Rose leaf rosette-associated virus</t>
  </si>
  <si>
    <t>Tobacco virus 1</t>
  </si>
  <si>
    <t>Tetterwort vein chlorosis virus</t>
  </si>
  <si>
    <t>Persimmon virus B</t>
  </si>
  <si>
    <t>Areca palm velarivirus 1</t>
  </si>
  <si>
    <t>Cucumis melo alphaendornavirus</t>
  </si>
  <si>
    <t>Erysiphe cichoracearum alphaendornavirus</t>
  </si>
  <si>
    <t>Grapevine endophyte alphaendornavirus</t>
  </si>
  <si>
    <t>Hordeum vulgare alphaendornavirus</t>
  </si>
  <si>
    <t>Hot pepper alphaendornavirus</t>
  </si>
  <si>
    <t>Lagenaria siceraria alphaendornavirus</t>
  </si>
  <si>
    <t>Rhizoctonia cerealis alphaendornavirus 1</t>
  </si>
  <si>
    <t>Alternaria brassicicola betaendornavirus 1</t>
  </si>
  <si>
    <t>Gremmeniella abietina betaendornavirus 1</t>
  </si>
  <si>
    <t>Tuber aestivum betaendornavirus</t>
  </si>
  <si>
    <t>Hepacivirus A</t>
  </si>
  <si>
    <t>Hepacivirus B</t>
  </si>
  <si>
    <t>Hepacivirus D</t>
  </si>
  <si>
    <t>Hepacivirus E</t>
  </si>
  <si>
    <t>Hepacivirus F</t>
  </si>
  <si>
    <t>Hepacivirus G</t>
  </si>
  <si>
    <t>Hepacivirus H</t>
  </si>
  <si>
    <t>Hepacivirus I</t>
  </si>
  <si>
    <t>Hepacivirus J</t>
  </si>
  <si>
    <t>Hepacivirus K</t>
  </si>
  <si>
    <t>Hepacivirus L</t>
  </si>
  <si>
    <t>Hepacivirus M</t>
  </si>
  <si>
    <t>Hepacivirus N</t>
  </si>
  <si>
    <t>Pegivirus C</t>
  </si>
  <si>
    <t>Pegivirus D</t>
  </si>
  <si>
    <t>Pegivirus E</t>
  </si>
  <si>
    <t>Pegivirus F</t>
  </si>
  <si>
    <t>Pegivirus G</t>
  </si>
  <si>
    <t>Pegivirus H</t>
  </si>
  <si>
    <t>Pegivirus I</t>
  </si>
  <si>
    <t>Pegivirus J</t>
  </si>
  <si>
    <t>Pegivirus K</t>
  </si>
  <si>
    <t>Capulavirus</t>
  </si>
  <si>
    <t>Alfalfa leaf curl virus</t>
  </si>
  <si>
    <t>Euphorbia caput-medusae latent virus</t>
  </si>
  <si>
    <t>French bean severe leaf curl virus</t>
  </si>
  <si>
    <t>Plantago lanceolata latent virus</t>
  </si>
  <si>
    <t>Grablovirus</t>
  </si>
  <si>
    <t>Grapevine red blotch virus</t>
  </si>
  <si>
    <t>Citrus chlorotic dwarf associated virus</t>
  </si>
  <si>
    <t>Mulberry mosaic dwarf associated virus</t>
  </si>
  <si>
    <t>Blackbird associated gemycircularvirus 1</t>
  </si>
  <si>
    <t>Bovine associated gemycircularvirus 1</t>
  </si>
  <si>
    <t>Bromus associated gemycircularvirus 1</t>
  </si>
  <si>
    <t>Cassava associated gemycircularvirus 1</t>
  </si>
  <si>
    <t>Chickadee associated gemycircularvirus 1</t>
  </si>
  <si>
    <t>Chicken associated gemycircularvirus 1</t>
  </si>
  <si>
    <t>Chicken associated gemycircularvirus 2</t>
  </si>
  <si>
    <t>Dragonfly associated gemycircularvirus 1</t>
  </si>
  <si>
    <t>Equine associated gemycircularvirus 1</t>
  </si>
  <si>
    <t>Fur seal associated gemycircularvirus 1</t>
  </si>
  <si>
    <t>Gerygone associated gemycircularvirus 1</t>
  </si>
  <si>
    <t>Gerygone associated gemycircularvirus 2</t>
  </si>
  <si>
    <t>Gerygone associated gemycircularvirus 3</t>
  </si>
  <si>
    <t>Hypericum associated gemycircularvirus 1</t>
  </si>
  <si>
    <t>Lama associated gemycircularvirus 1</t>
  </si>
  <si>
    <t>Mallard associated gemycircularvirus 1</t>
  </si>
  <si>
    <t>Miniopterus associated gemycircularvirus 1</t>
  </si>
  <si>
    <t>Mongoose associated gemycircularvirus 1</t>
  </si>
  <si>
    <t>Mosquito associated gemycircularvirus 1</t>
  </si>
  <si>
    <t>Odonata associated gemycircularvirus 1</t>
  </si>
  <si>
    <t>Odonata associated gemycircularvirus 2</t>
  </si>
  <si>
    <t>Poaceae associated gemycircularvirus 1</t>
  </si>
  <si>
    <t>Porcine associated gemycircularvirus 1</t>
  </si>
  <si>
    <t>Porcine associated gemycircularvirus 2</t>
  </si>
  <si>
    <t>Pteropus associated gemycircularvirus 1</t>
  </si>
  <si>
    <t>Pteropus associated gemycircularvirus 2</t>
  </si>
  <si>
    <t>Pteropus associated gemycircularvirus 3</t>
  </si>
  <si>
    <t>Pteropus associated gemycircularvirus 4</t>
  </si>
  <si>
    <t>Pteropus associated gemycircularvirus 5</t>
  </si>
  <si>
    <t>Pteropus associated gemycircularvirus 6</t>
  </si>
  <si>
    <t>Pteropus associated gemycircularvirus 7</t>
  </si>
  <si>
    <t>Pteropus associated gemycircularvirus 8</t>
  </si>
  <si>
    <t>Pteropus associated gemycircularvirus 9</t>
  </si>
  <si>
    <t>Pteropus associated gemycircularvirus 10</t>
  </si>
  <si>
    <t>Rat associated gemycircularvirus 1</t>
  </si>
  <si>
    <t>Sewage derived gemycircularvirus 1</t>
  </si>
  <si>
    <t>Sewage derived gemycircularvirus 2</t>
  </si>
  <si>
    <t>Sewage derived gemycircularvirus 3</t>
  </si>
  <si>
    <t>Sewage derived gemycircularvirus 4</t>
  </si>
  <si>
    <t>Sewage derived gemycircularvirus 5</t>
  </si>
  <si>
    <t>Sheep associated gemycircularvirus 1</t>
  </si>
  <si>
    <t>Soybean associated gemycircularvirus 1</t>
  </si>
  <si>
    <t>Gemyduguivirus</t>
  </si>
  <si>
    <t>Dragonfly associated gemyduguivirus 1</t>
  </si>
  <si>
    <t>Gemygorvirus</t>
  </si>
  <si>
    <t>Canine associated gemygorvirus 1</t>
  </si>
  <si>
    <t>Mallard associated gemygorvirus 1</t>
  </si>
  <si>
    <t>Pteropus associated gemygorvirus 1</t>
  </si>
  <si>
    <t>Sewage derived gemygorvirus 1</t>
  </si>
  <si>
    <t>Starling associated gemygorvirus 1</t>
  </si>
  <si>
    <t>Gemykibivirus</t>
  </si>
  <si>
    <t>Badger associated gemykibivirus 1</t>
  </si>
  <si>
    <t>Black robin associated gemykibivirus 1</t>
  </si>
  <si>
    <t>Blackbird associated gemykibivirus 1</t>
  </si>
  <si>
    <t>Bovine associated gemykibivirus 1</t>
  </si>
  <si>
    <t>Dragonfly associated gemykibivirus 1</t>
  </si>
  <si>
    <t>Human associated gemykibivirus 1</t>
  </si>
  <si>
    <t>Human associated gemykibivirus 2</t>
  </si>
  <si>
    <t>Human associated gemykibivirus 3</t>
  </si>
  <si>
    <t>Human associated gemykibivirus 4</t>
  </si>
  <si>
    <t>Human associated gemykibivirus 5</t>
  </si>
  <si>
    <t>Mongoose associated gemykibivirus 1</t>
  </si>
  <si>
    <t>Pteropus associated gemykibivirus 1</t>
  </si>
  <si>
    <t>Rhinolophus associated gemykibivirus 1</t>
  </si>
  <si>
    <t>Rhinolophus associated gemykibivirus 2</t>
  </si>
  <si>
    <t>Sewage derived gemykibivirus 1</t>
  </si>
  <si>
    <t>Sewage derived gemykibivirus 2</t>
  </si>
  <si>
    <t>Gemykolovirus</t>
  </si>
  <si>
    <t>Pteropus associated gemykolovirus 1</t>
  </si>
  <si>
    <t>Pteropus associated gemykolovirus 2</t>
  </si>
  <si>
    <t>Gemykrogvirus</t>
  </si>
  <si>
    <t>Bovine associated gemykrogvirus 1</t>
  </si>
  <si>
    <t>Caribou associated gemykrogvirus 1</t>
  </si>
  <si>
    <t>Sewage derived gemykrogvirus 1</t>
  </si>
  <si>
    <t>Gemykroznavirus</t>
  </si>
  <si>
    <t>Rabbit associated gemykroznavirus 1</t>
  </si>
  <si>
    <t>Gemytondvirus</t>
  </si>
  <si>
    <t>Ostrich associated gemytondvirus 1</t>
  </si>
  <si>
    <t>Gemyvongvirus</t>
  </si>
  <si>
    <t>Human associated gemyvongvirus 1</t>
  </si>
  <si>
    <t>Parrot hepatitis B virus</t>
  </si>
  <si>
    <t>Pomona bat hepatitis B virus</t>
  </si>
  <si>
    <t>White sucker hepatitis B virus</t>
  </si>
  <si>
    <t>Vibrio virus VGJ</t>
  </si>
  <si>
    <t>Habenivirus</t>
  </si>
  <si>
    <t>Ralstonia virus RS603</t>
  </si>
  <si>
    <t>Ralstonia virus RSM1</t>
  </si>
  <si>
    <t>Ralstonia virus RSM3</t>
  </si>
  <si>
    <t>Vibrio virus VFJ</t>
  </si>
  <si>
    <t>Propionibacterium virus B5</t>
  </si>
  <si>
    <t>Ralstonia virus PE226</t>
  </si>
  <si>
    <t>Ralstonia virus RSS1</t>
  </si>
  <si>
    <t>Spiroplasma virus SVTS2</t>
  </si>
  <si>
    <t>Stenotrophomonas virus PSH1</t>
  </si>
  <si>
    <t>Stenotrophomonas virus SMA6</t>
  </si>
  <si>
    <t>Stenotrophomonas virus SMA7</t>
  </si>
  <si>
    <t>Stenotrophomonas virus SMA9</t>
  </si>
  <si>
    <t>Vibrio virus KSF1</t>
  </si>
  <si>
    <t>Vibrio virus VCY</t>
  </si>
  <si>
    <t>Vibrio virus VfO3K6</t>
  </si>
  <si>
    <t>Spiroplasma virus SkV1CR23x</t>
  </si>
  <si>
    <t>Singapore grouper iridovirus</t>
  </si>
  <si>
    <t>Alfalfa enamovirus 1</t>
  </si>
  <si>
    <t>Influenza D virus</t>
  </si>
  <si>
    <t>Asteroid ambidensovirus 1</t>
  </si>
  <si>
    <t>Decapod ambidensovirus 1</t>
  </si>
  <si>
    <t>Hemipteran ambidensovirus 2</t>
  </si>
  <si>
    <t>Hemipteran ambidensovirus 3</t>
  </si>
  <si>
    <t>Hymenopteran ambidensovirus 1</t>
  </si>
  <si>
    <t>Orthopteran densovirus 1</t>
  </si>
  <si>
    <t>Rattus norvegicus polyomavirus 1</t>
  </si>
  <si>
    <t>Microtus arvalis polyomavirus 1</t>
  </si>
  <si>
    <t>Myodes glareolus polyomavirus 1</t>
  </si>
  <si>
    <t>Pan troglodytes polyomavirus 8</t>
  </si>
  <si>
    <t>Broad-leafed dock virus A</t>
  </si>
  <si>
    <t>Yam chlorotic mosaic virus</t>
  </si>
  <si>
    <t>Jasmine virus T</t>
  </si>
  <si>
    <t>Lettuce Italian necrotic virus</t>
  </si>
  <si>
    <t>Zucchini shoestring virus</t>
  </si>
  <si>
    <t>Centapoxvirus</t>
  </si>
  <si>
    <t>Yokapox virus</t>
  </si>
  <si>
    <t>Pteropox virus</t>
  </si>
  <si>
    <t>Rotavirus I</t>
  </si>
  <si>
    <t>Koala retrovirus</t>
  </si>
  <si>
    <t>Jembrana disease virus</t>
  </si>
  <si>
    <t>Solinviviridae</t>
  </si>
  <si>
    <t>Invictavirus</t>
  </si>
  <si>
    <t>Solenopsis invicta virus 3</t>
  </si>
  <si>
    <t>Nyfulvavirus</t>
  </si>
  <si>
    <t>Nylanderia fulva virus 1</t>
  </si>
  <si>
    <t>Haloarcula virus HCIV1</t>
  </si>
  <si>
    <t>Tolecusatellitidae</t>
  </si>
  <si>
    <t>Betasatellite</t>
  </si>
  <si>
    <t>Ageratum leaf curl Buea betasatellite</t>
  </si>
  <si>
    <t>Ageratum leaf curl Cameroon betasatellite</t>
  </si>
  <si>
    <t>Ageratum yellow leaf curl betasatellite</t>
  </si>
  <si>
    <t>Ageratum yellow vein betasatellite</t>
  </si>
  <si>
    <t>Ageratum yellow vein India betasatellite</t>
  </si>
  <si>
    <t>Ageratum yellow vein Sri Lanka betasatellite</t>
  </si>
  <si>
    <t>Alternanthera yellow vein betasatellite</t>
  </si>
  <si>
    <t>Andrographis yellow vein leaf curl betasatellite</t>
  </si>
  <si>
    <t>Bhendi yellow vein mosaic betasatellite</t>
  </si>
  <si>
    <t>Cardiospermum yellow leaf curl betasatellite</t>
  </si>
  <si>
    <t>Chili leaf curl betasatellite</t>
  </si>
  <si>
    <t>Chili leaf curl Jaunpur betasatellite</t>
  </si>
  <si>
    <t>Chili leaf curl Sri Lanka betasatellite</t>
  </si>
  <si>
    <t>Cotton leaf curl Gezira betasatellite</t>
  </si>
  <si>
    <t>Cotton leaf curl Multan betasatellite</t>
  </si>
  <si>
    <t>Croton yellow vein mosaic betasatellite</t>
  </si>
  <si>
    <t>Eupatorium yellow vein betasatellite</t>
  </si>
  <si>
    <t>Eupatorium yellow vein mosaic betasatellite</t>
  </si>
  <si>
    <t>French bean leaf curl betasatellite</t>
  </si>
  <si>
    <t>Hedyotis yellow mosaic betasatellite</t>
  </si>
  <si>
    <t>Honeysuckle yellow vein betasatellite</t>
  </si>
  <si>
    <t>Honeysuckle yellow vein mosaic betasatellite</t>
  </si>
  <si>
    <t>Malvastrum leaf curl betasatellite</t>
  </si>
  <si>
    <t>Malvastrum leaf curl Guangdong betasatellite</t>
  </si>
  <si>
    <t>Mirabilis leaf curl betasatellite</t>
  </si>
  <si>
    <t>Momordica yellow mosaic betasatellite</t>
  </si>
  <si>
    <t>Mungbean yellow mosaic betasatellite</t>
  </si>
  <si>
    <t>Okra leaf curl Oman betasatellite</t>
  </si>
  <si>
    <t>Papaya leaf curl betasatellite</t>
  </si>
  <si>
    <t>Papaya leaf curl China betasatellite</t>
  </si>
  <si>
    <t>Papaya leaf curl India betasatellite</t>
  </si>
  <si>
    <t>Rhynchosia yellow mosaic betasatellite</t>
  </si>
  <si>
    <t>Rose leaf curl betasatellite</t>
  </si>
  <si>
    <t>Siegesbeckia yellow vein betasatellite</t>
  </si>
  <si>
    <t>Tobacco curly shoot betasatellite</t>
  </si>
  <si>
    <t>Tobacco leaf curl betasatellite</t>
  </si>
  <si>
    <t>Tobacco leaf curl Japan betasatellite</t>
  </si>
  <si>
    <t>Tobacco leaf curl Patna betasatellite</t>
  </si>
  <si>
    <t>Tomato leaf curl Bangalore betasatellite</t>
  </si>
  <si>
    <t>Tomato leaf curl Bangladesh betasatellite</t>
  </si>
  <si>
    <t>Tomato leaf curl betasatellite</t>
  </si>
  <si>
    <t>Tomato leaf curl China betasatellite</t>
  </si>
  <si>
    <t>Tomato leaf curl Gandhinagar betasatellite</t>
  </si>
  <si>
    <t>Tomato leaf curl Joydebpur betasatellite</t>
  </si>
  <si>
    <t>Tomato leaf curl Laguna betasatellite</t>
  </si>
  <si>
    <t>Tomato leaf curl Laos betasatellite</t>
  </si>
  <si>
    <t>Tomato leaf curl Malaysia betasatellite</t>
  </si>
  <si>
    <t>Tomato leaf curl Nepal betasatellite</t>
  </si>
  <si>
    <t>Tomato leaf curl Patna betasatellite</t>
  </si>
  <si>
    <t>Tomato leaf curl Philippine betasatellite</t>
  </si>
  <si>
    <t>Tomato leaf curl Sri Lanka betasatellite</t>
  </si>
  <si>
    <t>Tomato leaf curl Yemen betasatellite</t>
  </si>
  <si>
    <t>Tomato yellow leaf curl China betasatellite</t>
  </si>
  <si>
    <t>Tomato yellow leaf curl Rajasthan betasatellite</t>
  </si>
  <si>
    <t>Tomato yellow leaf curl Shandong betasatellite</t>
  </si>
  <si>
    <t>Tomato yellow leaf curl Thailand betasatellite</t>
  </si>
  <si>
    <t>Tomato yellow leaf curl Vietnam betasatellite</t>
  </si>
  <si>
    <t>Tomato yellow leaf curl Yunnan betasatellite</t>
  </si>
  <si>
    <t>Vernonia yellow vein betasatellite</t>
  </si>
  <si>
    <t>Vernonia yellow vein Fujian betasatellite</t>
  </si>
  <si>
    <t>Deltasatellite</t>
  </si>
  <si>
    <t>Croton yellow vein deltasatellite</t>
  </si>
  <si>
    <t>Malvastrum leaf curl deltasatellite</t>
  </si>
  <si>
    <t>Sida golden yellow vein deltasatellite 1</t>
  </si>
  <si>
    <t>Sida golden yellow vein deltasatellite 2</t>
  </si>
  <si>
    <t>Sida golden yellow vein deltasatellite 3</t>
  </si>
  <si>
    <t>Sweet potato leaf curl deltasatellite 1</t>
  </si>
  <si>
    <t>Sweet potato leaf curl deltasatellite 2</t>
  </si>
  <si>
    <t>Sweet potato leaf curl deltasatellite 3</t>
  </si>
  <si>
    <t>Tomato leaf curl deltasatellite</t>
  </si>
  <si>
    <t>Tomato yellow leaf distortion deltasatellite 1</t>
  </si>
  <si>
    <t>Tomato yellow leaf distortion deltasatellite 2</t>
  </si>
  <si>
    <t>Ethiopian tobacco bushy top virus</t>
  </si>
  <si>
    <t>Opium poppy mosaic virus</t>
  </si>
  <si>
    <t>Pyrobaculum filamentous virus 1</t>
  </si>
  <si>
    <t>Blunervirus</t>
  </si>
  <si>
    <t>Blueberry necrotic ring blotch virus</t>
  </si>
  <si>
    <t>Citrus leprosis virus C2</t>
  </si>
  <si>
    <t>Tilapinevirus</t>
  </si>
  <si>
    <t>Tilapia tilapinevirus</t>
  </si>
  <si>
    <t>Colombian potato soil-borne virus</t>
  </si>
  <si>
    <t>Plumeria mosaic virus</t>
  </si>
  <si>
    <t>Tomato brown rugose fruit virus</t>
  </si>
  <si>
    <t>Campylobacter virus CP21</t>
  </si>
  <si>
    <t>New,</t>
  </si>
  <si>
    <t>Renamed,Moved,</t>
  </si>
  <si>
    <t>Moved,</t>
  </si>
  <si>
    <t>Mannheimia virus PHL101</t>
  </si>
  <si>
    <t>Lactobacillus virus Lb338-1</t>
  </si>
  <si>
    <t>Escherichia virus CC31</t>
  </si>
  <si>
    <t>Salmonella virus L13</t>
  </si>
  <si>
    <t>Salmonella virus LSPA1</t>
  </si>
  <si>
    <t>Salmon aquaparamyxovirus</t>
  </si>
  <si>
    <t>Reptilian ferlavirus</t>
  </si>
  <si>
    <t>Hendra henipavirus</t>
  </si>
  <si>
    <t>Nipah henipavirus</t>
  </si>
  <si>
    <t>Canine morbillivirus</t>
  </si>
  <si>
    <t>Measles morbillivirus</t>
  </si>
  <si>
    <t>Phocine morbillivirus</t>
  </si>
  <si>
    <t>Rinderpest morbillivirus</t>
  </si>
  <si>
    <t>Small ruminant morbillivirus</t>
  </si>
  <si>
    <t>Bovine respirovirus 3</t>
  </si>
  <si>
    <t>Human respirovirus 1</t>
  </si>
  <si>
    <t>Human respirovirus 3</t>
  </si>
  <si>
    <t>Murine respirovirus</t>
  </si>
  <si>
    <t>Porcine respirovirus 1</t>
  </si>
  <si>
    <t>Bovine orthopneumovirus</t>
  </si>
  <si>
    <t>Human orthopneumovirus</t>
  </si>
  <si>
    <t>Murine orthopneumovirus</t>
  </si>
  <si>
    <t>Piscine novirhabdovirus</t>
  </si>
  <si>
    <t>Salmonid novirhabdovirus</t>
  </si>
  <si>
    <t>Diadromus pulchellus toursvirus</t>
  </si>
  <si>
    <t>Bat associated circovirus 1</t>
  </si>
  <si>
    <t>Bat associated circovirus 2</t>
  </si>
  <si>
    <t>Bat associated circovirus 3</t>
  </si>
  <si>
    <t>Chimpanzee associated circovirus 1</t>
  </si>
  <si>
    <t>Human associated circovirus 1</t>
  </si>
  <si>
    <t>Bat associated cyclovirus 1</t>
  </si>
  <si>
    <t>Bat associated cyclovirus 2</t>
  </si>
  <si>
    <t>Bat associated cyclovirus 3</t>
  </si>
  <si>
    <t>Bat associated cyclovirus 4</t>
  </si>
  <si>
    <t>Bat associated cyclovirus 5</t>
  </si>
  <si>
    <t>Bovine associated cyclovirus 1</t>
  </si>
  <si>
    <t>Chicken associated cyclovirus 1</t>
  </si>
  <si>
    <t>Chimpanzee associated cyclovirus 1</t>
  </si>
  <si>
    <t>Cockroach associated cyclovirus 1</t>
  </si>
  <si>
    <t>Dragonfly associated cyclovirus 1</t>
  </si>
  <si>
    <t>Dragonfly associated cyclovirus 2</t>
  </si>
  <si>
    <t>Dragonfly associated cyclovirus 3</t>
  </si>
  <si>
    <t>Dragonfly associated cyclovirus 4</t>
  </si>
  <si>
    <t>Dragonfly associated cyclovirus 5</t>
  </si>
  <si>
    <t>Dragonfly associated cyclovirus 6</t>
  </si>
  <si>
    <t>Dragonfly associated cyclovirus 7</t>
  </si>
  <si>
    <t>Dragonfly associated cyclovirus 8</t>
  </si>
  <si>
    <t>Goat associated cyclovirus 1</t>
  </si>
  <si>
    <t>Human associated cyclovirus 1</t>
  </si>
  <si>
    <t>Human associated cyclovirus 2</t>
  </si>
  <si>
    <t>Human associated cyclovirus 3</t>
  </si>
  <si>
    <t>Human associated cyclovirus 4</t>
  </si>
  <si>
    <t>Human associated cyclovirus 5</t>
  </si>
  <si>
    <t>Human associated cyclovirus 6</t>
  </si>
  <si>
    <t>Human associated cyclovirus 7</t>
  </si>
  <si>
    <t>Human associated cyclovirus 8</t>
  </si>
  <si>
    <t>Human associated cyclovirus 9</t>
  </si>
  <si>
    <t>Human associated cyclovirus 10</t>
  </si>
  <si>
    <t>Hepacivirus C</t>
  </si>
  <si>
    <t>Haloarcula virus HHPV1</t>
  </si>
  <si>
    <t>Haloarcula virus HHPV2</t>
  </si>
  <si>
    <t>Halorubrum virus HRPV1</t>
  </si>
  <si>
    <t>Halorubrum virus HRPV2</t>
  </si>
  <si>
    <t>Halorubrum virus HRPV6</t>
  </si>
  <si>
    <t>Halogeometricum virus HGPV1</t>
  </si>
  <si>
    <t>Halorubrum virus HRPV3</t>
  </si>
  <si>
    <t>Artashat orthonairovirus</t>
  </si>
  <si>
    <t>Chim orthonairovirus</t>
  </si>
  <si>
    <t>Tamdy orthonairovirus</t>
  </si>
  <si>
    <t>Wolkberg orthobunyavirus</t>
  </si>
  <si>
    <t>Ackermannviridae</t>
  </si>
  <si>
    <t>Aglimvirinae</t>
  </si>
  <si>
    <t>Salmonella virus SKML39</t>
  </si>
  <si>
    <t>Limestonevirus</t>
  </si>
  <si>
    <t>Dickeya virus RC2014</t>
  </si>
  <si>
    <t>Cvivirinae</t>
  </si>
  <si>
    <t>Salmonella virus 38</t>
  </si>
  <si>
    <t>Salmonella virus GG32</t>
  </si>
  <si>
    <t>Salmonella virus PM10</t>
  </si>
  <si>
    <t>Erwinia virus Ea2809</t>
  </si>
  <si>
    <t>Klebsiella virus 0507KN21</t>
  </si>
  <si>
    <t>Serratia virus IME250</t>
  </si>
  <si>
    <t>Serratia virus MAM1</t>
  </si>
  <si>
    <t>Erwinia virus Asesino</t>
  </si>
  <si>
    <t>Erwinia virus EaH2</t>
  </si>
  <si>
    <t>Machinavirus</t>
  </si>
  <si>
    <t>Erwinia virus Machina</t>
  </si>
  <si>
    <t>Svunavirus</t>
  </si>
  <si>
    <t>Bacillus virus 1</t>
  </si>
  <si>
    <t>Geobacillus virus GBSV1</t>
  </si>
  <si>
    <t>Dinoroseobacter virus DFL12</t>
  </si>
  <si>
    <t>Jwalphavirus</t>
  </si>
  <si>
    <t>Achromobacter virus Axp3</t>
  </si>
  <si>
    <t>Achromobacter virus JWAlpha</t>
  </si>
  <si>
    <t>Salmonella virus BTP1</t>
  </si>
  <si>
    <t>Escherichia virus Pollock</t>
  </si>
  <si>
    <t>Salmonella virus FSL SP-058</t>
  </si>
  <si>
    <t>Salmonella virus FSL SP-076</t>
  </si>
  <si>
    <t>Chebruvirinae</t>
  </si>
  <si>
    <t>Brujitavirus</t>
  </si>
  <si>
    <t>Mycobacterium virus Sbash</t>
  </si>
  <si>
    <t>Dclasvirinae</t>
  </si>
  <si>
    <t>Hawkeyevirus</t>
  </si>
  <si>
    <t>Mycobacterium virus Hawkeye</t>
  </si>
  <si>
    <t>Plotvirus</t>
  </si>
  <si>
    <t>Mycobacterium virus Plot</t>
  </si>
  <si>
    <t>Mccleskeyvirinae</t>
  </si>
  <si>
    <t>Leuconostoc virus Lmd1</t>
  </si>
  <si>
    <t>Leuconostoc virus LN03</t>
  </si>
  <si>
    <t>Leuconostoc virus LN04</t>
  </si>
  <si>
    <t>Leuconostoc virus LN12</t>
  </si>
  <si>
    <t>Leuconostoc virus LN6B</t>
  </si>
  <si>
    <t>Leuconostoc virus P793</t>
  </si>
  <si>
    <t>Leuconostoc virus 1A4</t>
  </si>
  <si>
    <t>Leuconostoc virus Ln8</t>
  </si>
  <si>
    <t>Leuconostoc virus Ln9</t>
  </si>
  <si>
    <t>Leuconostoc virus LN25</t>
  </si>
  <si>
    <t>Leuconostoc virus LN34</t>
  </si>
  <si>
    <t>Leuconostoc virus LNTR3</t>
  </si>
  <si>
    <t>Nclasvirinae</t>
  </si>
  <si>
    <t>Buttersvirus</t>
  </si>
  <si>
    <t>Mycobacterium virus Butters</t>
  </si>
  <si>
    <t>Mycobacterium virus Michelle</t>
  </si>
  <si>
    <t>Mycobacterium virus Pipsqueaks</t>
  </si>
  <si>
    <t>Mycobacterium virus Xeno</t>
  </si>
  <si>
    <t>Redivirus</t>
  </si>
  <si>
    <t>Mycobacterium virus Panchino</t>
  </si>
  <si>
    <t>Mycobacterium virus Phrann</t>
  </si>
  <si>
    <t>Mycobacterium virus Skinnyp</t>
  </si>
  <si>
    <t>Nymbaxtervirinae</t>
  </si>
  <si>
    <t>Baxtervirus</t>
  </si>
  <si>
    <t>Gordonia virus BaxterFox</t>
  </si>
  <si>
    <t>Gordonia virus Yeezy</t>
  </si>
  <si>
    <t>Nymphadoravirus</t>
  </si>
  <si>
    <t>Gordonia virus Kita</t>
  </si>
  <si>
    <t>Gordonia virus Zirinka</t>
  </si>
  <si>
    <t>Anatolevirus</t>
  </si>
  <si>
    <t>Propionibacterium virus Anatole</t>
  </si>
  <si>
    <t>Propionibacterium virus B3</t>
  </si>
  <si>
    <t>Attisvirus</t>
  </si>
  <si>
    <t>Gordonia virus Attis</t>
  </si>
  <si>
    <t>Doucettevirus</t>
  </si>
  <si>
    <t>Propionibacterium virus B22</t>
  </si>
  <si>
    <t>Propionibacterium virus Doucette</t>
  </si>
  <si>
    <t>Propionibacterium virus E6</t>
  </si>
  <si>
    <t>Propionibacterium virus G4</t>
  </si>
  <si>
    <t>Escherichia virus HK75</t>
  </si>
  <si>
    <t>Escherichia virus HK106</t>
  </si>
  <si>
    <t>Escherichia virus HK446</t>
  </si>
  <si>
    <t>Escherichia virus HK542</t>
  </si>
  <si>
    <t>Escherichia virus HK544</t>
  </si>
  <si>
    <t>Escherichia virus HK633</t>
  </si>
  <si>
    <t>Escherichia virus mEp234</t>
  </si>
  <si>
    <t>Escherichia virus mEpX1</t>
  </si>
  <si>
    <t>Escherichia virus mEpX2</t>
  </si>
  <si>
    <t>Escherichia virus DE3</t>
  </si>
  <si>
    <t>Escherichia virus HK629</t>
  </si>
  <si>
    <t>Escherichia virus HK630</t>
  </si>
  <si>
    <t>Propionibacterium virus PFR1</t>
  </si>
  <si>
    <t>Geobacillus virus Tp84</t>
  </si>
  <si>
    <t>Trigintaduovirus</t>
  </si>
  <si>
    <t>Mycobacterium virus 32HC</t>
  </si>
  <si>
    <t>Wizardvirus</t>
  </si>
  <si>
    <t>Gordonia virus Twister6</t>
  </si>
  <si>
    <t>Gordonia virus Wizard</t>
  </si>
  <si>
    <t>Ranid herpesvirus 3</t>
  </si>
  <si>
    <t>Carbovirus</t>
  </si>
  <si>
    <t>Queensland carbovirus</t>
  </si>
  <si>
    <t>Southwest carbovirus</t>
  </si>
  <si>
    <t>Orthobornavirus</t>
  </si>
  <si>
    <t>Elapid 1 orthobornavirus</t>
  </si>
  <si>
    <t>Mammalian 1 orthobornavirus</t>
  </si>
  <si>
    <t>Mammalian 2 orthobornavirus</t>
  </si>
  <si>
    <t>Passeriform 1 orthobornavirus</t>
  </si>
  <si>
    <t>Passeriform 2 orthobornavirus</t>
  </si>
  <si>
    <t>Psittaciform 1 orthobornavirus</t>
  </si>
  <si>
    <t>Psittaciform 2 orthobornavirus</t>
  </si>
  <si>
    <t>Waterbird 1 orthobornavirus</t>
  </si>
  <si>
    <t>Tai Forest ebolavirus</t>
  </si>
  <si>
    <t>Kanyawara ledantevirus</t>
  </si>
  <si>
    <t>Gannoruwa bat lyssavirus</t>
  </si>
  <si>
    <t>Lleida bat lyssavirus</t>
  </si>
  <si>
    <t>Beatrice Hill tibrovirus</t>
  </si>
  <si>
    <t>Ortervirales</t>
  </si>
  <si>
    <t>Belpaoviridae</t>
  </si>
  <si>
    <t>Antheraea semotivirus Tamy</t>
  </si>
  <si>
    <t>Drosophila semotivirus Max</t>
  </si>
  <si>
    <t>Schistosoma semotivirus Sinbad</t>
  </si>
  <si>
    <t>Takifugu rubripes Suzu virus</t>
  </si>
  <si>
    <t>Cacao mild mosaic virus</t>
  </si>
  <si>
    <t>Cacao yellow vein banding virus</t>
  </si>
  <si>
    <t>Dioscorea bacilliform RT virus 1</t>
  </si>
  <si>
    <t>Dioscorea bacilliform RT virus 2</t>
  </si>
  <si>
    <t>Dioscorea bacilliform TR virus</t>
  </si>
  <si>
    <t>Kalanchoe top-spotting virus</t>
  </si>
  <si>
    <t>Wisteria badnavirus 1</t>
  </si>
  <si>
    <t>Drosophila melanogaster 17-6 virus</t>
  </si>
  <si>
    <t xml:space="preserve">Proposal for Last Change </t>
  </si>
  <si>
    <t>Triticum aestivum WIS2 virus</t>
  </si>
  <si>
    <t>Zea mays Sto4 virus</t>
  </si>
  <si>
    <t>Zea mays Opie2 virus</t>
  </si>
  <si>
    <t>Zea mays Prem2 virus</t>
  </si>
  <si>
    <t>Visna-maedi virus</t>
  </si>
  <si>
    <t>Bovispumavirus</t>
  </si>
  <si>
    <t>Equispumavirus</t>
  </si>
  <si>
    <t>Felispumavirus</t>
  </si>
  <si>
    <t>Prosimiispumavirus</t>
  </si>
  <si>
    <t>Brown greater galago prosimian foamy virus</t>
  </si>
  <si>
    <t>Simiispumavirus</t>
  </si>
  <si>
    <t>Bornean orangutan simian foamy virus</t>
  </si>
  <si>
    <t>Eastern chimpanzee simian foamy virus</t>
  </si>
  <si>
    <t>Grivet simian foamy virus</t>
  </si>
  <si>
    <t>Guenon simian foamy virus</t>
  </si>
  <si>
    <t>Japanese macaque simian foamy virus</t>
  </si>
  <si>
    <t>Rhesus macaque simian foamy virus</t>
  </si>
  <si>
    <t>Spider monkey simian foamy virus</t>
  </si>
  <si>
    <t>Squirrel monkey simian foamy virus</t>
  </si>
  <si>
    <t>Taiwanese macaque simian foamy virus</t>
  </si>
  <si>
    <t>Western chimpanzee simian foamy virus</t>
  </si>
  <si>
    <t>Western lowland gorilla simian foamy virus</t>
  </si>
  <si>
    <t>White-tufted-ear marmoset simian foamy virus</t>
  </si>
  <si>
    <t>Yellow-breasted capuchin simian foamy virus</t>
  </si>
  <si>
    <t>Solenopsis invicta virus 1</t>
  </si>
  <si>
    <t>Homalodisca coagulata virus 1</t>
  </si>
  <si>
    <t>Varroa destructor virus 1</t>
  </si>
  <si>
    <t>Aalivirus</t>
  </si>
  <si>
    <t>Aalivirus A</t>
  </si>
  <si>
    <t>Bopivirus</t>
  </si>
  <si>
    <t>Bopivirus A</t>
  </si>
  <si>
    <t>Crohivirus</t>
  </si>
  <si>
    <t>Crohivirus A</t>
  </si>
  <si>
    <t>Crohivirus B</t>
  </si>
  <si>
    <t>Enterovirus K</t>
  </si>
  <si>
    <t>Enterovirus L</t>
  </si>
  <si>
    <t>Kunsagivirus B</t>
  </si>
  <si>
    <t>Kunsagivirus C</t>
  </si>
  <si>
    <t>Megrivirus A</t>
  </si>
  <si>
    <t>Megrivirus B</t>
  </si>
  <si>
    <t>Megrivirus C</t>
  </si>
  <si>
    <t>Megrivirus D</t>
  </si>
  <si>
    <t>Megrivirus E</t>
  </si>
  <si>
    <t>Orivirus</t>
  </si>
  <si>
    <t>Orivirus A</t>
  </si>
  <si>
    <t>Shanbavirus</t>
  </si>
  <si>
    <t>Shanbavirus A</t>
  </si>
  <si>
    <t>Polycipiviridae</t>
  </si>
  <si>
    <t>Chipolycivirus</t>
  </si>
  <si>
    <t>Chironomus riparius virus 1</t>
  </si>
  <si>
    <t>Hubei chipolycivirus</t>
  </si>
  <si>
    <t>Hupolycivirus</t>
  </si>
  <si>
    <t>Hubei hupolycivirus</t>
  </si>
  <si>
    <t>Sopolycivirus</t>
  </si>
  <si>
    <t>Formica exsecta virus 3</t>
  </si>
  <si>
    <t>Lasius neglectus virus 1</t>
  </si>
  <si>
    <t>Lasius neglectus virus 2</t>
  </si>
  <si>
    <t>Lasius niger virus 1</t>
  </si>
  <si>
    <t>Linepithema humile virus 2</t>
  </si>
  <si>
    <t>Monomorium pharaonis virus 1</t>
  </si>
  <si>
    <t>Monomorium pharaonis virus 2</t>
  </si>
  <si>
    <t>Myrmica scabrinodis virus 1</t>
  </si>
  <si>
    <t>Shuangao insect virus 8</t>
  </si>
  <si>
    <t>Solenopsis invicta virus 2</t>
  </si>
  <si>
    <t>Solenopsis invicta virus 4</t>
  </si>
  <si>
    <t>Grapevine fabavirus</t>
  </si>
  <si>
    <t>Prunus virus F</t>
  </si>
  <si>
    <t>Potato virus B</t>
  </si>
  <si>
    <t>Soybean latent spherical virus</t>
  </si>
  <si>
    <t>Dioscorea mosaic associated virus</t>
  </si>
  <si>
    <t>Chaetoceros socialis forma radians RNA virus 1</t>
  </si>
  <si>
    <t>Alfalfa virus S</t>
  </si>
  <si>
    <t>Arachis pintoi virus</t>
  </si>
  <si>
    <t>Vanilla latent virus</t>
  </si>
  <si>
    <t>Actinidia virus X</t>
  </si>
  <si>
    <t>Pitaya virus X</t>
  </si>
  <si>
    <t>Vanilla virus X</t>
  </si>
  <si>
    <t>Atractylodes mottle virus</t>
  </si>
  <si>
    <t>Kalanchoe latent virus</t>
  </si>
  <si>
    <t>Ligustrum virus A</t>
  </si>
  <si>
    <t>Sambucus virus C</t>
  </si>
  <si>
    <t>Sambucus virus D</t>
  </si>
  <si>
    <t>Sambucus virus E</t>
  </si>
  <si>
    <t>Sint-Jan onion latent virus</t>
  </si>
  <si>
    <t>Yam latent virus</t>
  </si>
  <si>
    <t>Asian prunus virus 2</t>
  </si>
  <si>
    <t>Arracacha virus V</t>
  </si>
  <si>
    <t>Deltaflexiviridae</t>
  </si>
  <si>
    <t>Deltaflexivirus</t>
  </si>
  <si>
    <t>Fusarium deltaflexivirus 1</t>
  </si>
  <si>
    <t>Sclerotinia deltaflexivirus 1</t>
  </si>
  <si>
    <t>Soybean-associated deltaflexivirus 1</t>
  </si>
  <si>
    <t>Grapevine asteroid mosaic associated virus</t>
  </si>
  <si>
    <t>Peach marafivirus D</t>
  </si>
  <si>
    <t>Deer atadenovirus A</t>
  </si>
  <si>
    <t>Pigeon aviadenovirus B</t>
  </si>
  <si>
    <t>Psittacine aviadenovirus B</t>
  </si>
  <si>
    <t>Bat mastadenovirus C</t>
  </si>
  <si>
    <t>Bat mastadenovirus D</t>
  </si>
  <si>
    <t>Bat mastadenovirus E</t>
  </si>
  <si>
    <t>Bat mastadenovirus F</t>
  </si>
  <si>
    <t>Bat mastadenovirus G</t>
  </si>
  <si>
    <t>Deer mastadenovirus B</t>
  </si>
  <si>
    <t>Dolphin mastadenovirus B</t>
  </si>
  <si>
    <t>Simian mastadenovirus I</t>
  </si>
  <si>
    <t>Squirrel mastadenovirus A</t>
  </si>
  <si>
    <t>Alphasatellitidae</t>
  </si>
  <si>
    <t>Geminialphasatellitinae</t>
  </si>
  <si>
    <t>Ageyesisatellite</t>
  </si>
  <si>
    <t>Ageratum yellow vein Singapore alphasatellite</t>
  </si>
  <si>
    <t>Cotton leaf curl Saudi Arabia alphasatellite</t>
  </si>
  <si>
    <t>Clecrusatellite</t>
  </si>
  <si>
    <t>Cleome leaf crumple alphasatellite</t>
  </si>
  <si>
    <t>Croton yellow vein mosaic alphasatellite</t>
  </si>
  <si>
    <t>Euphorbia yellow mosaic alphasatellite</t>
  </si>
  <si>
    <t>Melon chlorotic mosaic alphasatellite</t>
  </si>
  <si>
    <t>Sida Cuba alphasatellite</t>
  </si>
  <si>
    <t>Tomato yellow spot alphasatellite</t>
  </si>
  <si>
    <t>Whitefly associated Guatemala alphasatellite 2</t>
  </si>
  <si>
    <t>Whitefly associated Puerto Rico alphasatellite 1</t>
  </si>
  <si>
    <t>Colecusatellite</t>
  </si>
  <si>
    <t>Ageratum enation alphasatellite</t>
  </si>
  <si>
    <t>Ageratum yellow vein alphasatellite</t>
  </si>
  <si>
    <t>Ageratum yellow vein China alphasatellite</t>
  </si>
  <si>
    <t>Ageratum yellow vein India alphasatellite</t>
  </si>
  <si>
    <t>Bhendi yellow vein alphasatellite</t>
  </si>
  <si>
    <t>Cassava mosaic Madagascar alphasatellite</t>
  </si>
  <si>
    <t>Chilli leaf curl alphasatellite</t>
  </si>
  <si>
    <t>Cotton leaf curl Egypt alphasatellite</t>
  </si>
  <si>
    <t>Cotton leaf curl Gezira alphasatellite</t>
  </si>
  <si>
    <t>Cotton leaf curl Lucknow alphasatellite</t>
  </si>
  <si>
    <t>Cotton leaf curl Multan alphasatellite</t>
  </si>
  <si>
    <t>Gossypium darwinii symptomless alphasatellite</t>
  </si>
  <si>
    <t>Malvastrum yellow mosaic alphasatellite</t>
  </si>
  <si>
    <t>Malvastrum yellow mosaic Cameroon alphasatellite</t>
  </si>
  <si>
    <t>Pedilanthus leaf curl alphasatellite</t>
  </si>
  <si>
    <t>Sida leaf curl alphasatellite</t>
  </si>
  <si>
    <t>Sida yellow vein Vietnam alphasatellite</t>
  </si>
  <si>
    <t>Sunflower leaf curl Karnataka alphasatellite</t>
  </si>
  <si>
    <t>Synedrella leaf curl alphasatellite</t>
  </si>
  <si>
    <t>Tobacco curly shoot alphasatellite</t>
  </si>
  <si>
    <t>Tomato leaf curl Buea alphasatellite</t>
  </si>
  <si>
    <t>Tomato leaf curl Cameroon alphasatellite</t>
  </si>
  <si>
    <t>Tomato yellow leaf curl China alphasatellite</t>
  </si>
  <si>
    <t>Tomato yellow leaf curl Thailand alphasatellite</t>
  </si>
  <si>
    <t>Tomato yellow leaf curl Yunnan alphasatellite</t>
  </si>
  <si>
    <t>Gosmusatellite</t>
  </si>
  <si>
    <t>Gossypium mustelinum symptomless alphasatellite</t>
  </si>
  <si>
    <t>Hollyhock yellow vein alphasatellite</t>
  </si>
  <si>
    <t>Mesta yellow vein mosaic alphasatellite</t>
  </si>
  <si>
    <t>Okra enation leaf curl alphasatellite</t>
  </si>
  <si>
    <t>Okra yellow crinkle Cameroon alphasatellite</t>
  </si>
  <si>
    <t>Vernonia yellow vein Fujian alphasatellite</t>
  </si>
  <si>
    <t>Dragonfly associated alphasatellite</t>
  </si>
  <si>
    <t>Nanoalphasatellitinae</t>
  </si>
  <si>
    <t>Babusatellite</t>
  </si>
  <si>
    <t>Banana bunchy top alphasatellite 1</t>
  </si>
  <si>
    <t>Banana bunchy top alphasatellite 3</t>
  </si>
  <si>
    <t>Cardamom bushy dwarf alphasatellite</t>
  </si>
  <si>
    <t>Clostunsatellite</t>
  </si>
  <si>
    <t>Subterranean clover stunt alphasatellite 2</t>
  </si>
  <si>
    <t>Fabenesatellite</t>
  </si>
  <si>
    <t>Faba bean necrotic yellows alphasatellite 2</t>
  </si>
  <si>
    <t>Milvetsatellite</t>
  </si>
  <si>
    <t>Mivedwarsatellite</t>
  </si>
  <si>
    <t>Faba bean necrotic stunt alphasatellite</t>
  </si>
  <si>
    <t>Sophora yellow stunt alphasatellite 2</t>
  </si>
  <si>
    <t>Sophoyesatellite</t>
  </si>
  <si>
    <t>Sophora yellow stunt alphasatellite 3</t>
  </si>
  <si>
    <t>Subclovsatellite</t>
  </si>
  <si>
    <t>Faba bean necrotic yellows alphasatellite 1</t>
  </si>
  <si>
    <t>Subterranean clover stunt alphasatellite 1</t>
  </si>
  <si>
    <t>Coconut foliar decay alphasatellite</t>
  </si>
  <si>
    <t>Hartmanivirus</t>
  </si>
  <si>
    <t>Haartman hartmanivirus</t>
  </si>
  <si>
    <t>Argentinian mammarenavirus</t>
  </si>
  <si>
    <t>Brazilian mammarenavirus</t>
  </si>
  <si>
    <t>Cali mammarenavirus</t>
  </si>
  <si>
    <t>Paraguayan mammarenavirus</t>
  </si>
  <si>
    <t>Ryukyu mammarenavirus</t>
  </si>
  <si>
    <t>Serra do Navio mammarenavirus </t>
  </si>
  <si>
    <t>Souris mammarenavirus</t>
  </si>
  <si>
    <t>California reptarenavirus</t>
  </si>
  <si>
    <t>Giessen reptarenavirus</t>
  </si>
  <si>
    <t>Golden reptarenavirus</t>
  </si>
  <si>
    <t>Ordinary reptarenavirus</t>
  </si>
  <si>
    <t>Rotterdam reptarenavirus</t>
  </si>
  <si>
    <t>Aspiviridae</t>
  </si>
  <si>
    <t>Blueberry mosaic associated ophiovirus</t>
  </si>
  <si>
    <t>Citrus psorosis ophiovirus</t>
  </si>
  <si>
    <t>Freesia sneak ophiovirus</t>
  </si>
  <si>
    <t>Lettuce ring necrosis ophiovirus</t>
  </si>
  <si>
    <t>Mirafiori lettuce big-vein ophiovirus</t>
  </si>
  <si>
    <t>Ranunculus white mottle ophiovirus</t>
  </si>
  <si>
    <t>Tulip mild mottle mosaic ophiovirus</t>
  </si>
  <si>
    <t>Bacilladnaviridae</t>
  </si>
  <si>
    <t>Diatodnavirus</t>
  </si>
  <si>
    <t>Chaetoceros diatodnavirus 1</t>
  </si>
  <si>
    <t>Kieseladnavirus</t>
  </si>
  <si>
    <t>Avon-Heathcote Estuary associated kieseladnavirus</t>
  </si>
  <si>
    <t>Protobacilladnavirus</t>
  </si>
  <si>
    <t>Chaetoceros protobacilladnavirus 1</t>
  </si>
  <si>
    <t>Chaetoceros protobacilladnavirus 2</t>
  </si>
  <si>
    <t>Chaetoceros protobacilladnavirus 3</t>
  </si>
  <si>
    <t>Chaetoceros protobacilladnavirus 4</t>
  </si>
  <si>
    <t>Marine protobacilladnavirus 1</t>
  </si>
  <si>
    <t>Snail associated protobacilladnavirus 1</t>
  </si>
  <si>
    <t>Snail associated protobacilladnavirus 2</t>
  </si>
  <si>
    <t>Cnaphalocrocis medinalis granulovirus</t>
  </si>
  <si>
    <t>Mythimna unipuncta granulovirus A</t>
  </si>
  <si>
    <t>Mythimna unipuncta granulovirus B</t>
  </si>
  <si>
    <t>Ageratum latent virus</t>
  </si>
  <si>
    <t>Privet ringspot virus</t>
  </si>
  <si>
    <t>Tomato necrotic streak virus</t>
  </si>
  <si>
    <t>Newbury 1 virus</t>
  </si>
  <si>
    <t>Penicillium cyaneofulvum virus</t>
  </si>
  <si>
    <t>Bat associated circovirus 9</t>
  </si>
  <si>
    <t>Porcine circovirus 3</t>
  </si>
  <si>
    <t>Human associated cyclovirus 12</t>
  </si>
  <si>
    <t>Mouse associated cyclovirus 1</t>
  </si>
  <si>
    <t>Grapevine leafroll-associated virus 13</t>
  </si>
  <si>
    <t>Pseudomonas virus phi8</t>
  </si>
  <si>
    <t>Pseudomonas virus phi12</t>
  </si>
  <si>
    <t>Pseudomonas virus phi13</t>
  </si>
  <si>
    <t>Pseudomonas virus phi2954</t>
  </si>
  <si>
    <t>Pseudomonas virus phiNN</t>
  </si>
  <si>
    <t>Pseudomonas virus phiYY</t>
  </si>
  <si>
    <t>Winged bean alphaendornavirus 1</t>
  </si>
  <si>
    <t>Botrytis cinerea betaendornavirus 1</t>
  </si>
  <si>
    <t>Saint Louis encephalitis virus</t>
  </si>
  <si>
    <t>Pestivirus A</t>
  </si>
  <si>
    <t>Pestivirus B</t>
  </si>
  <si>
    <t>Pestivirus C</t>
  </si>
  <si>
    <t>Pestivirus D</t>
  </si>
  <si>
    <t>Pestivirus E</t>
  </si>
  <si>
    <t>Pestivirus F</t>
  </si>
  <si>
    <t>Pestivirus G</t>
  </si>
  <si>
    <t>Pestivirus H</t>
  </si>
  <si>
    <t>Pestivirus I</t>
  </si>
  <si>
    <t>Pestivirus J</t>
  </si>
  <si>
    <t>Pestivirus K</t>
  </si>
  <si>
    <t>Allamanda leaf mottle distortion virus</t>
  </si>
  <si>
    <t>Andrographis yellow vein leaf curl virus</t>
  </si>
  <si>
    <t>Asystasia mosaic Madagascar virus</t>
  </si>
  <si>
    <t>Bean white chlorosis mosaic virus</t>
  </si>
  <si>
    <t>Cnidoscolus mosaic leaf deformation virus</t>
  </si>
  <si>
    <t>Coccinia mosaic Tamil Nadu virus</t>
  </si>
  <si>
    <t>Common bean mottle virus</t>
  </si>
  <si>
    <t>Common bean severe mosaic virus</t>
  </si>
  <si>
    <t>Cotton leaf curl Barasat virus</t>
  </si>
  <si>
    <t>Cotton yellow mosaic virus</t>
  </si>
  <si>
    <t>Deinbollia mosaic virus</t>
  </si>
  <si>
    <t>Desmodium mottle virus</t>
  </si>
  <si>
    <t>Duranta leaf curl virus</t>
  </si>
  <si>
    <t>Euphorbia mosaic Peru virus</t>
  </si>
  <si>
    <t>Euphorbia yellow leaf curl virus</t>
  </si>
  <si>
    <t>Hollyhock yellow vein mosaic virus</t>
  </si>
  <si>
    <t>Jacquemontia yellow mosaic virus</t>
  </si>
  <si>
    <t>Jatropha leaf curl Gujarat virus</t>
  </si>
  <si>
    <t>Jatropha leaf yellow mosaic virus</t>
  </si>
  <si>
    <t>Lisianthus enation leaf curl virus</t>
  </si>
  <si>
    <t>Lycianthes yellow mosaic virus</t>
  </si>
  <si>
    <t>Macroptilium bright mosaic virus</t>
  </si>
  <si>
    <t>Macroptilium common mosaic virus</t>
  </si>
  <si>
    <t>Malvastrum bright yellow mosaic virus</t>
  </si>
  <si>
    <t>Malvastrum yellow vein Cambodia virus</t>
  </si>
  <si>
    <t>Melochia mosaic virus</t>
  </si>
  <si>
    <t>Melochia yellow mosaic virus</t>
  </si>
  <si>
    <t>Mirabilis leaf curl virus</t>
  </si>
  <si>
    <t>Okra leaf curl Oman virus</t>
  </si>
  <si>
    <t>Oxalis yellow vein virus</t>
  </si>
  <si>
    <t>Passionfruit leaf distortion virus</t>
  </si>
  <si>
    <t>Pavonia mosaic virus</t>
  </si>
  <si>
    <t>Pavonia yellow mosaic virus</t>
  </si>
  <si>
    <t>Pea leaf distortion virus</t>
  </si>
  <si>
    <t>Pedilanthus leaf curl virus</t>
  </si>
  <si>
    <t>Pepper yellow leaf curl Thailand virus</t>
  </si>
  <si>
    <t>Ramie mosaic Yunnan virus</t>
  </si>
  <si>
    <t>Senna leaf curl virus</t>
  </si>
  <si>
    <t>Sida angular mosaic virus</t>
  </si>
  <si>
    <t>Sida bright yellow mosaic virus</t>
  </si>
  <si>
    <t>Sida chlorotic mottle virus</t>
  </si>
  <si>
    <t>Sida chlorotic vein virus</t>
  </si>
  <si>
    <t>Sida golden yellow spot virus</t>
  </si>
  <si>
    <t>Solanum mosaic Bolivia virus</t>
  </si>
  <si>
    <t>Sweet potato golden vein Korea virus</t>
  </si>
  <si>
    <t>Sweet potato leaf curl Guangxi virus</t>
  </si>
  <si>
    <t>Synedrella yellow vein clearing virus</t>
  </si>
  <si>
    <t>Telfairia golden mosaic virus</t>
  </si>
  <si>
    <t>Tomato chlorotic mottle Guyane virus</t>
  </si>
  <si>
    <t>Tomato enation leaf curl virus</t>
  </si>
  <si>
    <t>Tomato golden leaf spot virus</t>
  </si>
  <si>
    <t>Tomato latent virus</t>
  </si>
  <si>
    <t>Tomato leaf curl Burkina Faso virus</t>
  </si>
  <si>
    <t>Tomato mottle wrinkle virus</t>
  </si>
  <si>
    <t>Tomato yellow leaf curl Shuangbai virus</t>
  </si>
  <si>
    <t>Tomato yellow leaf curl Yunnan virus</t>
  </si>
  <si>
    <t>Triumfetta yellow mosaic virus</t>
  </si>
  <si>
    <t>Velvet bean golden mosaic virus</t>
  </si>
  <si>
    <t>Vernonia crinkle virus</t>
  </si>
  <si>
    <t>Vinca leaf curl virus</t>
  </si>
  <si>
    <t>Whitefly-associated begomovirus 1</t>
  </si>
  <si>
    <t>Whitefly-associated begomovirus 2</t>
  </si>
  <si>
    <t>Whitefly-associated begomovirus 3</t>
  </si>
  <si>
    <t>Whitefly-associated begomovirus 4</t>
  </si>
  <si>
    <t>Whitefly-associated begomovirus 6</t>
  </si>
  <si>
    <t>Whitefly-associated begomovirus 7</t>
  </si>
  <si>
    <t>Wissadula yellow mosaic virus</t>
  </si>
  <si>
    <t>Chickpea yellow dwarf virus</t>
  </si>
  <si>
    <t>Dragonfly-associated mastrevirus</t>
  </si>
  <si>
    <t>Sporobolus striate mosaic virus 1</t>
  </si>
  <si>
    <t>Sporobolus striate mosaic virus 2</t>
  </si>
  <si>
    <t>Sugarcane chlorotic streak virus</t>
  </si>
  <si>
    <t>Sugarcane striate virus</t>
  </si>
  <si>
    <t>Sweet potato symptomless virus 1</t>
  </si>
  <si>
    <t>Turnip leaf roll virus</t>
  </si>
  <si>
    <t>Bluegill hepatitis B virus</t>
  </si>
  <si>
    <t>Tibetan frog hepatitis B virus</t>
  </si>
  <si>
    <t>Acholeplasma virus L51</t>
  </si>
  <si>
    <t>Common midwife toad virus</t>
  </si>
  <si>
    <t>Barley yellow dwarf virus kerII</t>
  </si>
  <si>
    <t>Barley yellow dwarf virus kerIII</t>
  </si>
  <si>
    <t>Barley yellow dwarf virus MAV</t>
  </si>
  <si>
    <t>Barley yellow dwarf virus PAS</t>
  </si>
  <si>
    <t>Barley yellow dwarf virus PAV</t>
  </si>
  <si>
    <t>Cereal yellow dwarf virus RPS</t>
  </si>
  <si>
    <t>Cereal yellow dwarf virus RPV</t>
  </si>
  <si>
    <t>Maize yellow dwarf virus RMV</t>
  </si>
  <si>
    <t>Maize yellow mosaic virus</t>
  </si>
  <si>
    <t>Pepo aphid-borne yellows virus</t>
  </si>
  <si>
    <t>Barley yellow dwarf virus GPV</t>
  </si>
  <si>
    <t>Barley yellow dwarf virus SGV</t>
  </si>
  <si>
    <t>Alphainfluenzavirus</t>
  </si>
  <si>
    <t>Betainfluenzavirus</t>
  </si>
  <si>
    <t>Deltainfluenzavirus</t>
  </si>
  <si>
    <t>Gammainfluenzavirus</t>
  </si>
  <si>
    <t>Salmon isavirus</t>
  </si>
  <si>
    <t>Johnston Atoll quaranjavirus</t>
  </si>
  <si>
    <t>Quaranfil quaranjavirus</t>
  </si>
  <si>
    <t>Dhori thogotovirus</t>
  </si>
  <si>
    <t>Thogoto thogotovirus</t>
  </si>
  <si>
    <t>Firstpapillomavirinae</t>
  </si>
  <si>
    <t>Deltapapillomavirus 7</t>
  </si>
  <si>
    <t>Dyokappapapillomavirus 3</t>
  </si>
  <si>
    <t>Dyokappapapillomavirus 4</t>
  </si>
  <si>
    <t>Dyokappapapillomavirus 5</t>
  </si>
  <si>
    <t>Dyoxipapillomavirus 2</t>
  </si>
  <si>
    <t>Epsilonpapillomavirus 2</t>
  </si>
  <si>
    <t>Gammapapillomavirus 27</t>
  </si>
  <si>
    <t>Iotapapillomavirus 2</t>
  </si>
  <si>
    <t>Psipapillomavirus 2</t>
  </si>
  <si>
    <t>Psipapillomavirus 3</t>
  </si>
  <si>
    <t>Taupapillomavirus 4</t>
  </si>
  <si>
    <t>Treisiotapapillomavirus</t>
  </si>
  <si>
    <t>Treisiotapapillomavirus 1</t>
  </si>
  <si>
    <t>Treiskappapapillomavirus</t>
  </si>
  <si>
    <t>Treiskappapapillomavirus 1</t>
  </si>
  <si>
    <t>Treisthetapapillomavirus</t>
  </si>
  <si>
    <t>Treisthetapapillomavirus 1</t>
  </si>
  <si>
    <t>Xipapillomavirus 4</t>
  </si>
  <si>
    <t>Xipapillomavirus 5</t>
  </si>
  <si>
    <t>Secondpapillomavirinae</t>
  </si>
  <si>
    <t>Alefpapillomavirus</t>
  </si>
  <si>
    <t>Alefpapillomavirus 1</t>
  </si>
  <si>
    <t>Gaeumannomyces graminis virus 0196A</t>
  </si>
  <si>
    <t>Gaeumannomyces graminis virus T1A</t>
  </si>
  <si>
    <t>Carnivore amdoparvovirus 3</t>
  </si>
  <si>
    <t>Carnivore amdoparvovirus 4</t>
  </si>
  <si>
    <t>Carnivore bocaparvovirus 4</t>
  </si>
  <si>
    <t>Carnivore bocaparvovirus 5</t>
  </si>
  <si>
    <t>Carnivore bocaparvovirus 6</t>
  </si>
  <si>
    <t>Chiropteran bocaparvovirus 1</t>
  </si>
  <si>
    <t>Chiropteran bocaparvovirus 2</t>
  </si>
  <si>
    <t>Chiropteran bocaparvovirus 3</t>
  </si>
  <si>
    <t>Chiropteran bocaparvovirus 4</t>
  </si>
  <si>
    <t>Lagomorph bocaparvovirus 1</t>
  </si>
  <si>
    <t>Ungulate bocaparvovirus 6</t>
  </si>
  <si>
    <t>Chiropteran protoparvovirus 1</t>
  </si>
  <si>
    <t>Eulipotyphla protoparvovirus 1</t>
  </si>
  <si>
    <t>Primate protoparvovirus 2</t>
  </si>
  <si>
    <t>Primate protoparvovirus 3</t>
  </si>
  <si>
    <t>Rodent protoparvovirus 3</t>
  </si>
  <si>
    <t>Ungulate protoparvovirus 2</t>
  </si>
  <si>
    <t>Chelonus near curvimaculatus bracovirus</t>
  </si>
  <si>
    <t>Piliocolobus badius polyomavirus 1</t>
  </si>
  <si>
    <t>Leptonychotes weddellii polyomavirus 1</t>
  </si>
  <si>
    <t>Rattus norvegicus polyomavirus 2</t>
  </si>
  <si>
    <t>Vicugna pacos polyomavirus 1</t>
  </si>
  <si>
    <t>Erythrura gouldiae polyomavirus 1</t>
  </si>
  <si>
    <t>Lonchura maja polyomavirus 1</t>
  </si>
  <si>
    <t>Rhynchobatus djiddensis polyomavirus 1</t>
  </si>
  <si>
    <t>Trematomus pennellii polyomavirus 1</t>
  </si>
  <si>
    <t>Portogloboviridae</t>
  </si>
  <si>
    <t>Alphaportoglobovirus</t>
  </si>
  <si>
    <t>Sulfolobus alphaportoglobovirus 1</t>
  </si>
  <si>
    <t>Bevemovirus</t>
  </si>
  <si>
    <t>Bellflower veinal mottle virus</t>
  </si>
  <si>
    <t>Coccinia mottle virus</t>
  </si>
  <si>
    <t>Barbacena virus Y</t>
  </si>
  <si>
    <t>Callistephus mottle virus</t>
  </si>
  <si>
    <t>Daphne virus Y</t>
  </si>
  <si>
    <t>Impatiens flower break virus</t>
  </si>
  <si>
    <t>Kalanchoe mosaic virus</t>
  </si>
  <si>
    <t>Pecan mosaic-associated virus</t>
  </si>
  <si>
    <t>Sunflower ring blotch virus</t>
  </si>
  <si>
    <t>Tobacco mosqueado virus</t>
  </si>
  <si>
    <t>Wild onion symptomless virus</t>
  </si>
  <si>
    <t>Roymovirus</t>
  </si>
  <si>
    <t>Yellow oat grass mosaic virus</t>
  </si>
  <si>
    <t>Melanoplus sanguinipes entomopoxvirus</t>
  </si>
  <si>
    <t>Mahlapitsi orthoreovirus</t>
  </si>
  <si>
    <t>Smacoviridae</t>
  </si>
  <si>
    <t>Bovismacovirus</t>
  </si>
  <si>
    <t>Bovine associated bovismacovirus 1</t>
  </si>
  <si>
    <t>Bovine associated bovismacovirus 2</t>
  </si>
  <si>
    <t>Dragonfly associated bovismacovirus 1</t>
  </si>
  <si>
    <t>Cosmacovirus</t>
  </si>
  <si>
    <t>Bovine associated cosmacovirus 1</t>
  </si>
  <si>
    <t>Dragsmacovirus</t>
  </si>
  <si>
    <t>Dragonfly associated dragsmacovirus 1</t>
  </si>
  <si>
    <t>Drosmacovirus</t>
  </si>
  <si>
    <t>Bovine associated drosmacovirus 1</t>
  </si>
  <si>
    <t>Camel associated drosmacovirus 1</t>
  </si>
  <si>
    <t>Camel associated drosmacovirus2</t>
  </si>
  <si>
    <t>Huchismacovirus</t>
  </si>
  <si>
    <t>Bovine associated huchismacovirus 1</t>
  </si>
  <si>
    <t>Bovine associated huchismacovirus 2</t>
  </si>
  <si>
    <t>Chicken associated huchismacovirus 1</t>
  </si>
  <si>
    <t>Chicken associated huchismacovirus 2</t>
  </si>
  <si>
    <t>Human associated huchismacovirus 1</t>
  </si>
  <si>
    <t>Human associated huchismacovirus 2</t>
  </si>
  <si>
    <t>Human associated huchismacovirus 3</t>
  </si>
  <si>
    <t>Porprismacovirus</t>
  </si>
  <si>
    <t>Bovine associated porprismacovirus 1</t>
  </si>
  <si>
    <t>Camel associated porprismacovirus 1</t>
  </si>
  <si>
    <t>Camel associated porprismacovirus 2</t>
  </si>
  <si>
    <t>Camel associated porprismacovirus 3</t>
  </si>
  <si>
    <t>Camel associated porprismacovirus 4</t>
  </si>
  <si>
    <t>Chimpanzee associated porprismacovirus 1</t>
  </si>
  <si>
    <t>Chimpanzee associated porprismacovirus 2</t>
  </si>
  <si>
    <t>Gorilla associated porprismacovirus 1</t>
  </si>
  <si>
    <t>Howler monkey associated porprismacovirus 1</t>
  </si>
  <si>
    <t>Human associated porprismacovirus 1</t>
  </si>
  <si>
    <t>Human associated porprismacovirus 2</t>
  </si>
  <si>
    <t>Lemur associated porprismacovirus 1</t>
  </si>
  <si>
    <t>Porcine associated porprismacovirus 1</t>
  </si>
  <si>
    <t>Porcine associated porprismacovirus 2</t>
  </si>
  <si>
    <t>Porcine associated porprismacovirus 3</t>
  </si>
  <si>
    <t>Porcine associated porprismacovirus 4</t>
  </si>
  <si>
    <t>Porcine associated porprismacovirus 5</t>
  </si>
  <si>
    <t>Porcine associated porprismacovirus 6</t>
  </si>
  <si>
    <t>Porcine associated porprismacovirus 7</t>
  </si>
  <si>
    <t>Porcine associated porprismacovirus 8</t>
  </si>
  <si>
    <t>Porcine associated porprismacovirus 9</t>
  </si>
  <si>
    <t>Porcine associated porprismacovirus 10</t>
  </si>
  <si>
    <t>Rat associated porprismacovirus 1</t>
  </si>
  <si>
    <t>Sheep associated porprismacovirus 1</t>
  </si>
  <si>
    <t>Sheep associated porprismacovirus 2</t>
  </si>
  <si>
    <t>Sheep associated porprismacovirus 3</t>
  </si>
  <si>
    <t>Turkey associated porprismacovirus 1</t>
  </si>
  <si>
    <t>Solemoviridae</t>
  </si>
  <si>
    <t>Alphatectivirus</t>
  </si>
  <si>
    <t>Pseudomonas virus PR4</t>
  </si>
  <si>
    <t>Pseudomonas virus PRD1</t>
  </si>
  <si>
    <t>Betatectivirus</t>
  </si>
  <si>
    <t>Bacillus virus GIL16</t>
  </si>
  <si>
    <t>Bacillus virus Wip1</t>
  </si>
  <si>
    <t>Onyong-nyong virus</t>
  </si>
  <si>
    <t>Tomato leaf curl Java betasatellite</t>
  </si>
  <si>
    <t>Saccharomyces cerevisiae virus LBCLa</t>
  </si>
  <si>
    <t>Opuntia chlorotic ringspot virus</t>
  </si>
  <si>
    <t>Realm</t>
  </si>
  <si>
    <t>Subrealm</t>
  </si>
  <si>
    <t>Kingdom</t>
  </si>
  <si>
    <t>Subkingdom</t>
  </si>
  <si>
    <t>Phylum</t>
  </si>
  <si>
    <t>Subphylum</t>
  </si>
  <si>
    <t>Class</t>
  </si>
  <si>
    <t>Subclass</t>
  </si>
  <si>
    <t>Suborder</t>
  </si>
  <si>
    <t>Subgenus</t>
  </si>
  <si>
    <t>New MSL including all taxa updates since the 2017 release</t>
  </si>
  <si>
    <t>Updates approved during EC 50, Washington, DC, July 2018; Email ratification October 2018 (MSL #33)</t>
  </si>
  <si>
    <t>and ratified by the ICTV membership in 2019</t>
  </si>
  <si>
    <t>FYI Abbrev</t>
  </si>
  <si>
    <t>accession</t>
  </si>
  <si>
    <t>isolates</t>
  </si>
  <si>
    <t>Negarnaviricota</t>
  </si>
  <si>
    <t>Haploviricotina</t>
  </si>
  <si>
    <t>Chunqiuviricetes</t>
  </si>
  <si>
    <t>Muvirales</t>
  </si>
  <si>
    <t>Qinviridae</t>
  </si>
  <si>
    <t>Yingvirus</t>
  </si>
  <si>
    <t>Beihai yingvirus</t>
  </si>
  <si>
    <t>Charybdis yingvirus</t>
  </si>
  <si>
    <t>Hubei yingvirus</t>
  </si>
  <si>
    <t>Sanxia yingvirus</t>
  </si>
  <si>
    <t>Shahe yingvirus</t>
  </si>
  <si>
    <t>Wenzhou yingvirus</t>
  </si>
  <si>
    <t>Wuhan yingvirus</t>
  </si>
  <si>
    <t>Xinzhou yingvirus</t>
  </si>
  <si>
    <t>Milneviricetes</t>
  </si>
  <si>
    <t>Serpentovirales</t>
  </si>
  <si>
    <t>Monjiviricetes</t>
  </si>
  <si>
    <t>Jingchuvirales</t>
  </si>
  <si>
    <t>Chuviridae</t>
  </si>
  <si>
    <t>Mivirus</t>
  </si>
  <si>
    <t>Argas mivirus</t>
  </si>
  <si>
    <t>Barnacle mivirus</t>
  </si>
  <si>
    <t>Beetle mivirus</t>
  </si>
  <si>
    <t>Bole mivirus</t>
  </si>
  <si>
    <t>Brunnich mivirus</t>
  </si>
  <si>
    <t>Changping mivirus</t>
  </si>
  <si>
    <t>Charybdis mivirus</t>
  </si>
  <si>
    <t>Cockroach mivirus</t>
  </si>
  <si>
    <t>Crab mivirus</t>
  </si>
  <si>
    <t>Crustacean mivirus</t>
  </si>
  <si>
    <t>Dermacentor mivirus</t>
  </si>
  <si>
    <t>Hermit mivirus</t>
  </si>
  <si>
    <t>Hippoboscid mivirus</t>
  </si>
  <si>
    <t>Hubei mivirus</t>
  </si>
  <si>
    <t>Hubei odonate mivirus</t>
  </si>
  <si>
    <t>Imjin mivirus</t>
  </si>
  <si>
    <t>Lacewing mivirus</t>
  </si>
  <si>
    <t>Lishi mivirus</t>
  </si>
  <si>
    <t>Lonestar mivirus</t>
  </si>
  <si>
    <t>Louse fly mivirus</t>
  </si>
  <si>
    <t>Mosquito mivirus</t>
  </si>
  <si>
    <t>Myriapod mivirus</t>
  </si>
  <si>
    <t>Odonate mivirus</t>
  </si>
  <si>
    <t>Sanxia mivirus</t>
  </si>
  <si>
    <t>Shayang mivirus</t>
  </si>
  <si>
    <t>Suffolk mivirus</t>
  </si>
  <si>
    <t>Wenling mivirus</t>
  </si>
  <si>
    <t>Wuhan mivirus</t>
  </si>
  <si>
    <t>Xinzhou mivirus</t>
  </si>
  <si>
    <t>Artoviridae</t>
  </si>
  <si>
    <t>Barnacle peropuvirus</t>
  </si>
  <si>
    <t>Beihai peropuvirus</t>
  </si>
  <si>
    <t>Hubei peropuvirus</t>
  </si>
  <si>
    <t>Odonate peropuvirus</t>
  </si>
  <si>
    <t>Pillworm peropuvirus</t>
  </si>
  <si>
    <t>Woodlouse peropuvirus</t>
  </si>
  <si>
    <t>Lispiviridae</t>
  </si>
  <si>
    <t>Gerrid arlivirus</t>
  </si>
  <si>
    <t>Hubei arlivirus</t>
  </si>
  <si>
    <t>Odonate arlivirus</t>
  </si>
  <si>
    <t>Tacheng arlivirus</t>
  </si>
  <si>
    <t>Wuchang arlivirus</t>
  </si>
  <si>
    <t>Dadou sclerotimonavirus</t>
  </si>
  <si>
    <t>Drop sclerotimonavirus</t>
  </si>
  <si>
    <t>Glycine sclerotimonavirus</t>
  </si>
  <si>
    <t>Hubei sclerotimonavirus</t>
  </si>
  <si>
    <t>Illinois sclerotimonavirus</t>
  </si>
  <si>
    <t>Phyllosphere sclerotimonavirus</t>
  </si>
  <si>
    <t>Berhavirus</t>
  </si>
  <si>
    <t>Beihai berhavirus</t>
  </si>
  <si>
    <t>Echinoderm berhavirus</t>
  </si>
  <si>
    <t>Sipunculid berhavirus</t>
  </si>
  <si>
    <t>Beihai crustavirus</t>
  </si>
  <si>
    <t>Wenling crustavirus</t>
  </si>
  <si>
    <t>Orinovirus</t>
  </si>
  <si>
    <t>Orinoco orinovirus</t>
  </si>
  <si>
    <t>Tapwovirus</t>
  </si>
  <si>
    <t>Tapeworm tapwovirus</t>
  </si>
  <si>
    <t>Xinmoviridae</t>
  </si>
  <si>
    <t>Bolahun anphevirus</t>
  </si>
  <si>
    <t>Dipteran anphevirus</t>
  </si>
  <si>
    <t>Drosophilid anphevirus</t>
  </si>
  <si>
    <t>Odonate anphevirus</t>
  </si>
  <si>
    <t>Orthopteran anphevirus</t>
  </si>
  <si>
    <t>Shuangao anphevirus</t>
  </si>
  <si>
    <t>Yunchangviricetes</t>
  </si>
  <si>
    <t>Goujianvirales</t>
  </si>
  <si>
    <t>Yueviridae</t>
  </si>
  <si>
    <t>Yuyuevirus</t>
  </si>
  <si>
    <t>Beihai yuyuevirus</t>
  </si>
  <si>
    <t>Shahe yuyuevirus</t>
  </si>
  <si>
    <t>Polyploviricotina</t>
  </si>
  <si>
    <t>Ellioviricetes</t>
  </si>
  <si>
    <t>Cruliviridae</t>
  </si>
  <si>
    <t>Lincruvirus</t>
  </si>
  <si>
    <t>Crustacean lincruvirus</t>
  </si>
  <si>
    <t>Loanvirus</t>
  </si>
  <si>
    <t>Longquan loanvirus</t>
  </si>
  <si>
    <t>Mobatvirus</t>
  </si>
  <si>
    <t>Laibin mobatvirus</t>
  </si>
  <si>
    <t>Nova mobatvirus</t>
  </si>
  <si>
    <t>Quezon mobatvirus</t>
  </si>
  <si>
    <t>Thottimvirus</t>
  </si>
  <si>
    <t>Imjin thottimvirus</t>
  </si>
  <si>
    <t>Thottopalayam thottimvirus</t>
  </si>
  <si>
    <t>Mypoviridae</t>
  </si>
  <si>
    <t>Hubavirus</t>
  </si>
  <si>
    <t>Myriapod hubavirus</t>
  </si>
  <si>
    <t>Shaspivirus</t>
  </si>
  <si>
    <t>Spider shaspivirus</t>
  </si>
  <si>
    <t>Striwavirus</t>
  </si>
  <si>
    <t>Strider striwavirus</t>
  </si>
  <si>
    <t>Shangavirus</t>
  </si>
  <si>
    <t>Insect shangavirus</t>
  </si>
  <si>
    <t>Groundnut bud necrosis tospovirus</t>
  </si>
  <si>
    <t>Groundnut ringspot tospovirus</t>
  </si>
  <si>
    <t>Groundnut yellow spot tospovirus</t>
  </si>
  <si>
    <t>Impatiens necrotic spot tospovirus</t>
  </si>
  <si>
    <t>Iris yellow spot tospovirus</t>
  </si>
  <si>
    <t>Polygonum ringspot tospovirus</t>
  </si>
  <si>
    <t>Tomato chlorotic spot tospovirus</t>
  </si>
  <si>
    <t>Tomato spotted wilt tospovirus</t>
  </si>
  <si>
    <t>Watermelon bud necrosis tospovirus</t>
  </si>
  <si>
    <t>Watermelon silver mottle tospovirus</t>
  </si>
  <si>
    <t>Zucchini lethal chlorosis tospovirus</t>
  </si>
  <si>
    <t>Feravirus</t>
  </si>
  <si>
    <t>Ferak feravirus</t>
  </si>
  <si>
    <t>Inshuvirus</t>
  </si>
  <si>
    <t>Insect inshuvirus</t>
  </si>
  <si>
    <t>Jonvirus</t>
  </si>
  <si>
    <t>Jonchet jonvirus</t>
  </si>
  <si>
    <t>Wuhivirus</t>
  </si>
  <si>
    <t>Insect wuhivirus</t>
  </si>
  <si>
    <t>Banyangvirus</t>
  </si>
  <si>
    <t>Huaiyangshan banyangvirus</t>
  </si>
  <si>
    <t>Beidivirus</t>
  </si>
  <si>
    <t>Dipteran beidivirus</t>
  </si>
  <si>
    <t>Horwuvirus</t>
  </si>
  <si>
    <t>Horsefly horwuvirus</t>
  </si>
  <si>
    <t>Hudivirus</t>
  </si>
  <si>
    <t>Dipteran hudivirus</t>
  </si>
  <si>
    <t>Hudovirus</t>
  </si>
  <si>
    <t>Lepidopteran hudovirus</t>
  </si>
  <si>
    <t>Mobuvirus</t>
  </si>
  <si>
    <t>Mothra mobuvirus</t>
  </si>
  <si>
    <t>Pidchovirus</t>
  </si>
  <si>
    <t>Pidgey pidchovirus</t>
  </si>
  <si>
    <t>Wubeivirus</t>
  </si>
  <si>
    <t>Dipteran wubeivirus</t>
  </si>
  <si>
    <t>Fly wubeivirus</t>
  </si>
  <si>
    <t>Wupedeviridae</t>
  </si>
  <si>
    <t>Wumivirus</t>
  </si>
  <si>
    <t>Millipede wumivirus</t>
  </si>
  <si>
    <t>Insthoviricetes</t>
  </si>
  <si>
    <t>Articulavirales</t>
  </si>
  <si>
    <t>Amnoonviridae</t>
  </si>
  <si>
    <t>Abnidovirineae</t>
  </si>
  <si>
    <t>Abyssoviridae</t>
  </si>
  <si>
    <t>Tiamatvirinae</t>
  </si>
  <si>
    <t>Alphaabyssovirus</t>
  </si>
  <si>
    <t>Aplyccavirus</t>
  </si>
  <si>
    <t>Aplysia abyssovirus 1</t>
  </si>
  <si>
    <t>Arnidovirineae</t>
  </si>
  <si>
    <t>Crocarterivirinae</t>
  </si>
  <si>
    <t>Muarterivirus</t>
  </si>
  <si>
    <t>Muarterivirus afrigant</t>
  </si>
  <si>
    <t>Equarterivirinae</t>
  </si>
  <si>
    <t>Alphaarterivirus</t>
  </si>
  <si>
    <t>Alphaarterivirus equid</t>
  </si>
  <si>
    <t>Heroarterivirinae</t>
  </si>
  <si>
    <t>Lambdaarterivirus</t>
  </si>
  <si>
    <t>Lambdaarterivirus afriporav</t>
  </si>
  <si>
    <t>Simarterivirinae</t>
  </si>
  <si>
    <t>Deltaarterivirus</t>
  </si>
  <si>
    <t>Hedartevirus</t>
  </si>
  <si>
    <t>Deltaarterivirus hemfev</t>
  </si>
  <si>
    <t>Epsilonarterivirus</t>
  </si>
  <si>
    <t>Sheartevirus</t>
  </si>
  <si>
    <t>Epsilonarterivirus hemcep</t>
  </si>
  <si>
    <t>Epsilonarterivirus safriver</t>
  </si>
  <si>
    <t>Epsilonarterivirus zamalb</t>
  </si>
  <si>
    <t>Etaarterivirus</t>
  </si>
  <si>
    <t>Etaarterivirus ugarco 1</t>
  </si>
  <si>
    <t>Iotaarterivirus</t>
  </si>
  <si>
    <t>Kigiartevirus</t>
  </si>
  <si>
    <t>Iotaarterivirus kibreg 1</t>
  </si>
  <si>
    <t>Pedartevirus</t>
  </si>
  <si>
    <t>Deltaarterivirus pejah</t>
  </si>
  <si>
    <t>Thetaarterivirus</t>
  </si>
  <si>
    <t>Mitartevirus</t>
  </si>
  <si>
    <t>Thetaarterivirus mikelba 1</t>
  </si>
  <si>
    <t>Variarterivirinae</t>
  </si>
  <si>
    <t>Betaarterivirus</t>
  </si>
  <si>
    <t>Ampobartevirus</t>
  </si>
  <si>
    <t>Betaarterivirus suid 2</t>
  </si>
  <si>
    <t>Debiartevirus</t>
  </si>
  <si>
    <t>Iotaarterivirus debrazmo</t>
  </si>
  <si>
    <t>Kaftartevirus</t>
  </si>
  <si>
    <t>Thetaarterivirus kafuba</t>
  </si>
  <si>
    <t>Gammaarterivirus</t>
  </si>
  <si>
    <t>Gammaarterivirus lacdeh</t>
  </si>
  <si>
    <t>Zealarterivirinae</t>
  </si>
  <si>
    <t>Kappaarterivirus</t>
  </si>
  <si>
    <t>Kappaarterivirus wobum</t>
  </si>
  <si>
    <t>Zetaarterivirus</t>
  </si>
  <si>
    <t>Zetaarterivirus ugarco 1</t>
  </si>
  <si>
    <t>Cornidovirineae</t>
  </si>
  <si>
    <t>Letovirinae</t>
  </si>
  <si>
    <t>Alphaletovirus</t>
  </si>
  <si>
    <t>Milecovirus</t>
  </si>
  <si>
    <t>Microhyla letovirus 1</t>
  </si>
  <si>
    <t>Chibartevirus</t>
  </si>
  <si>
    <t>Betaarterivirus chinrav 1</t>
  </si>
  <si>
    <t>Betaarterivirus ninrav</t>
  </si>
  <si>
    <t>Orthocoronavirinae</t>
  </si>
  <si>
    <t>Colacovirus</t>
  </si>
  <si>
    <t>Eurpobartevirus</t>
  </si>
  <si>
    <t>Betaarterivirus suid 1</t>
  </si>
  <si>
    <t>Luchacovirus</t>
  </si>
  <si>
    <t>Lucheng Rn rat coronavirus</t>
  </si>
  <si>
    <t>Minacovirus</t>
  </si>
  <si>
    <t>Ferret coronavirus</t>
  </si>
  <si>
    <t>Myotacovirus</t>
  </si>
  <si>
    <t>Myotis ricketti alphacoronavirus Sax-2011</t>
  </si>
  <si>
    <t>Nyctacovirus</t>
  </si>
  <si>
    <t>Nyctalus velutinus alphacoronavirus SC-2013</t>
  </si>
  <si>
    <t>Decacovirus</t>
  </si>
  <si>
    <t>Rhinolophus ferrumequinum alphacoronavirus HuB-2013</t>
  </si>
  <si>
    <t>Pedacovirus</t>
  </si>
  <si>
    <t>Duvinacovirus</t>
  </si>
  <si>
    <t>Rhinacovirus</t>
  </si>
  <si>
    <t>Setracovirus</t>
  </si>
  <si>
    <t>NL63-related bat coronavirus strain BtKYNL63-9b</t>
  </si>
  <si>
    <t>Minunacovirus</t>
  </si>
  <si>
    <t>Tegacovirus</t>
  </si>
  <si>
    <t>Hibecovirus</t>
  </si>
  <si>
    <t>Bat Hp-betacoronavirus Zhejiang2013</t>
  </si>
  <si>
    <t>Nobecovirus</t>
  </si>
  <si>
    <t>Rousettus bat coronavirus GCCDC1</t>
  </si>
  <si>
    <t>Sarbecovirus</t>
  </si>
  <si>
    <t>Embecovirus</t>
  </si>
  <si>
    <t>China Rattus coronavirus HKU24</t>
  </si>
  <si>
    <t>Buldecovirus</t>
  </si>
  <si>
    <t>Merbecovirus</t>
  </si>
  <si>
    <t>Herdecovirus</t>
  </si>
  <si>
    <t>Igacovirus</t>
  </si>
  <si>
    <t>Andecovirus</t>
  </si>
  <si>
    <t>Mesnidovirineae</t>
  </si>
  <si>
    <t>Medioniviridae</t>
  </si>
  <si>
    <t>Medionivirinae</t>
  </si>
  <si>
    <t>Turrinivirus</t>
  </si>
  <si>
    <t>Beturrivirus</t>
  </si>
  <si>
    <t>Turrinivirus 1</t>
  </si>
  <si>
    <t>Tunicanivirinae</t>
  </si>
  <si>
    <t>Bolenivirus</t>
  </si>
  <si>
    <t>Balbicanovirus</t>
  </si>
  <si>
    <t>Botrylloides leachii nidovirus</t>
  </si>
  <si>
    <t>Moordecovirus</t>
  </si>
  <si>
    <t>Cegacovirus</t>
  </si>
  <si>
    <t>Hexponivirinae</t>
  </si>
  <si>
    <t>Casualivirus</t>
  </si>
  <si>
    <t>Kadilivirus</t>
  </si>
  <si>
    <t>Alphamesonivirus 7</t>
  </si>
  <si>
    <t>Karsalivirus</t>
  </si>
  <si>
    <t>Ofalivirus</t>
  </si>
  <si>
    <t>Alphamesonivirus 6</t>
  </si>
  <si>
    <t>Enselivirus</t>
  </si>
  <si>
    <t>Alphamesonivirus 8</t>
  </si>
  <si>
    <t>Hanalivirus</t>
  </si>
  <si>
    <t>Monidovirineae</t>
  </si>
  <si>
    <t>Mononiviridae</t>
  </si>
  <si>
    <t>Mononivirinae</t>
  </si>
  <si>
    <t>Alphamononivirus</t>
  </si>
  <si>
    <t>Dumedivirus</t>
  </si>
  <si>
    <t>Planidovirus 1</t>
  </si>
  <si>
    <t>Menolivirus</t>
  </si>
  <si>
    <t>Alphamesonivirus 9</t>
  </si>
  <si>
    <t>Ronidovirineae</t>
  </si>
  <si>
    <t>Euroniviridae</t>
  </si>
  <si>
    <t>Ceronivirinae</t>
  </si>
  <si>
    <t>Charybnivirus</t>
  </si>
  <si>
    <t>Cradenivirus</t>
  </si>
  <si>
    <t>Charybnivirus 1</t>
  </si>
  <si>
    <t>Namcalivirus</t>
  </si>
  <si>
    <t>Wenilivirus</t>
  </si>
  <si>
    <t>Decronivirus 1</t>
  </si>
  <si>
    <t>Crustonivirinae</t>
  </si>
  <si>
    <t>Paguronivirus</t>
  </si>
  <si>
    <t>Behecravirus</t>
  </si>
  <si>
    <t>Paguronivirus 1</t>
  </si>
  <si>
    <t>Okanivirinae</t>
  </si>
  <si>
    <t>Tipravirus</t>
  </si>
  <si>
    <t>Yellow head virus</t>
  </si>
  <si>
    <t>Tornidovirineae</t>
  </si>
  <si>
    <t>Tobaniviridae</t>
  </si>
  <si>
    <t>Piscanivirinae</t>
  </si>
  <si>
    <t>Pimfabavirus</t>
  </si>
  <si>
    <t>Oncotshavirus</t>
  </si>
  <si>
    <t>Salnivirus</t>
  </si>
  <si>
    <t>Remotovirinae</t>
  </si>
  <si>
    <t>Bostovirus</t>
  </si>
  <si>
    <t>Bosnitovirus</t>
  </si>
  <si>
    <t>Serpentovirinae</t>
  </si>
  <si>
    <t>Infratovirus</t>
  </si>
  <si>
    <t>Xintolivirus</t>
  </si>
  <si>
    <t>Infratovirus 1</t>
  </si>
  <si>
    <t>Pregotovirus</t>
  </si>
  <si>
    <t>Roypretovirus</t>
  </si>
  <si>
    <t>Blicbavirus</t>
  </si>
  <si>
    <t>Sectovirus</t>
  </si>
  <si>
    <t>Sanematovirus</t>
  </si>
  <si>
    <t>Sectovirus 1</t>
  </si>
  <si>
    <t>Tiruvirus</t>
  </si>
  <si>
    <t>Tilitovirus</t>
  </si>
  <si>
    <t>Shingleback nidovirus 1</t>
  </si>
  <si>
    <t>Renitovirus</t>
  </si>
  <si>
    <t>Banana bunchy top alphasatellite 2</t>
  </si>
  <si>
    <t>Milk vetch dwarf alphasatellite 2</t>
  </si>
  <si>
    <t>Pea necrotic yellow dwarf alphasatellite 2</t>
  </si>
  <si>
    <t>Sophora yellow stunt alphasatellite 4</t>
  </si>
  <si>
    <t>Sophora yellow stunt alphasatellite 5</t>
  </si>
  <si>
    <t>Milk vetch dwarf alphasatellite 3</t>
  </si>
  <si>
    <t>Milk vetch dwarf alphasatellite 1</t>
  </si>
  <si>
    <t>Pea necrotic yellow dwarf alphasatellite 1</t>
  </si>
  <si>
    <t>Genome
Composition
Rank</t>
  </si>
  <si>
    <t>tree_id</t>
  </si>
  <si>
    <t>msl_release_num</t>
  </si>
  <si>
    <t>sort</t>
  </si>
  <si>
    <t>Genome Composition Rank</t>
  </si>
  <si>
    <t>Rank at which this Genome Composition is set. All taxa below that rank have the same genome composition.</t>
  </si>
  <si>
    <t>Sort
(hidden)</t>
  </si>
  <si>
    <t>An arbitrary integer that, when sorted in numeric order, will produce the correct rank and alphabetic sorting of these species in the MSL.</t>
  </si>
  <si>
    <t>NULL</t>
  </si>
  <si>
    <t>Cultervirus</t>
  </si>
  <si>
    <t>Sharpbelly cultervirus.</t>
  </si>
  <si>
    <t>2018.016M.A.v1.Cultervirus.zip</t>
  </si>
  <si>
    <t>Striavirus</t>
  </si>
  <si>
    <t>Xilang striavirus</t>
  </si>
  <si>
    <t>2018.015M.A.v1.Filoviridae_2gen.zip</t>
  </si>
  <si>
    <t>Thamnovirus</t>
  </si>
  <si>
    <t>Huangjiao thamnovirus</t>
  </si>
  <si>
    <t>Avulavirinae</t>
  </si>
  <si>
    <t>Metaavulavirus</t>
  </si>
  <si>
    <t>Avian metaavulavirus 2</t>
  </si>
  <si>
    <t>Avian metaavulavirus 5</t>
  </si>
  <si>
    <t>Avian metaavulavirus 6</t>
  </si>
  <si>
    <t>Avian metaavulavirus 7</t>
  </si>
  <si>
    <t>Avian metaavulavirus 8</t>
  </si>
  <si>
    <t>Avian metaavulavirus 10</t>
  </si>
  <si>
    <t>Avian metaavulavirus 11</t>
  </si>
  <si>
    <t>Avian metaavulavirus 14</t>
  </si>
  <si>
    <t>Avian metaavulavirus 15</t>
  </si>
  <si>
    <t>Avian metaavulavirus 20</t>
  </si>
  <si>
    <t>2018.011M.A.v1.Paramyxoviridae.zip</t>
  </si>
  <si>
    <t>Orthoavulavirus</t>
  </si>
  <si>
    <t>Avian orthoavulavirus 1</t>
  </si>
  <si>
    <t>Avian orthoavulavirus 9</t>
  </si>
  <si>
    <t>Avian orthoavulavirus 12</t>
  </si>
  <si>
    <t>Avian orthoavulavirus 13</t>
  </si>
  <si>
    <t>Avian orthoavulavirus 16</t>
  </si>
  <si>
    <t>Avian orthoavulavirus 17</t>
  </si>
  <si>
    <t>Avian orthoavulavirus 18</t>
  </si>
  <si>
    <t>Avian orthoavulavirus 19</t>
  </si>
  <si>
    <t>Paraavulavirus</t>
  </si>
  <si>
    <t>Avian paraavulavirus 3</t>
  </si>
  <si>
    <t>Avian paraavulavirus 4</t>
  </si>
  <si>
    <t>Metaparamyxovirinae</t>
  </si>
  <si>
    <t>Synodonvirus</t>
  </si>
  <si>
    <t>Synodus paramyxovirus</t>
  </si>
  <si>
    <t>Orthoparamyxovirinae</t>
  </si>
  <si>
    <t>Jeilongvirus</t>
  </si>
  <si>
    <t>Beilong jeilongvirus</t>
  </si>
  <si>
    <t>Jun jeilongvirus</t>
  </si>
  <si>
    <t>Lophuromys jeilongvirus 1</t>
  </si>
  <si>
    <t>Lophuromys jeilongvirus 2</t>
  </si>
  <si>
    <t>Myodes jeilongvirus</t>
  </si>
  <si>
    <t>Tailam jeilongvirus</t>
  </si>
  <si>
    <t>Narmovirus</t>
  </si>
  <si>
    <t>Mossman narmovirus</t>
  </si>
  <si>
    <t>Myodes narmovirus</t>
  </si>
  <si>
    <t>Nariva narmovirus</t>
  </si>
  <si>
    <t>Tupaia narmovirus</t>
  </si>
  <si>
    <t>Caprine respirovirus 3</t>
  </si>
  <si>
    <t>Salemvirus</t>
  </si>
  <si>
    <t>Salem salemvirus</t>
  </si>
  <si>
    <t>Rubulavirinae</t>
  </si>
  <si>
    <t>Orthorubulavirus</t>
  </si>
  <si>
    <t>Bat mumps orthorubulavirus</t>
  </si>
  <si>
    <t>Human orthorubulavirus 2</t>
  </si>
  <si>
    <t>Human orthorubulavirus 4</t>
  </si>
  <si>
    <t>Mammalian orthorubulavirus 5</t>
  </si>
  <si>
    <t>Mapuera orthorubulavirus</t>
  </si>
  <si>
    <t>Mumps orthorubulavirus</t>
  </si>
  <si>
    <t>Porcine orthorubulavirus</t>
  </si>
  <si>
    <t>Simian orthorubulavirus</t>
  </si>
  <si>
    <t>Pararubulavirus</t>
  </si>
  <si>
    <t>Achimota pararubulavirus 1</t>
  </si>
  <si>
    <t>Achimota pararubulavirus 2</t>
  </si>
  <si>
    <t>Menangle pararubulavirus</t>
  </si>
  <si>
    <t>Sosuga pararubulavirus</t>
  </si>
  <si>
    <t>Teviot pararubulavirus</t>
  </si>
  <si>
    <t>Tioman pararubulavirus</t>
  </si>
  <si>
    <t>Tuhoko pararubulavirus 1</t>
  </si>
  <si>
    <t>Tuhoko pararubulavirus 2</t>
  </si>
  <si>
    <t>Tuhoko pararubulavirus 3</t>
  </si>
  <si>
    <t>Cynoglossus paramyxovirus</t>
  </si>
  <si>
    <t>Hoplichthys paramyxovirus</t>
  </si>
  <si>
    <t>Scoliodon paramyxovirus</t>
  </si>
  <si>
    <t>Alphanemrhavirus</t>
  </si>
  <si>
    <t>Xingshan alphanemrhavirus</t>
  </si>
  <si>
    <t>2018.001M.A.v1.Alphanemrhavirus.zip</t>
  </si>
  <si>
    <t>Xinzhou alphanemrhavirus</t>
  </si>
  <si>
    <t>Caligrhavirus</t>
  </si>
  <si>
    <t>Caligus caligrhavirus</t>
  </si>
  <si>
    <t>2018.002M.A.v1.Caligrhavirus.zip</t>
  </si>
  <si>
    <t>Lepeophtheirus caligrhavirus</t>
  </si>
  <si>
    <t>Salmonlouse caligrhavirus</t>
  </si>
  <si>
    <t>Citrus chlorotic spot dichorhavirus</t>
  </si>
  <si>
    <t>2018.003M.A.v1.Dichorhavirus_3sp.zip</t>
  </si>
  <si>
    <t>Citrus leprosis N dichorhavirus</t>
  </si>
  <si>
    <t>Clerodendrum chlorotic spot dichorhavirus</t>
  </si>
  <si>
    <t>Vaprio ledantevirus</t>
  </si>
  <si>
    <t>2018.004M.A.v1.Ledantevirus_sp.zip</t>
  </si>
  <si>
    <t>Antennavirus</t>
  </si>
  <si>
    <t>Hairy antennavirus</t>
  </si>
  <si>
    <t>2018.005M.A.v1.Antennavirus.zip</t>
  </si>
  <si>
    <t>Striated antennavirus</t>
  </si>
  <si>
    <t>Actantavirinae</t>
  </si>
  <si>
    <t>Actinovirus</t>
  </si>
  <si>
    <t>Batfish actinovirus</t>
  </si>
  <si>
    <t>2018.010M.A.v3.Hantaviridae_4subfam.zip</t>
  </si>
  <si>
    <t>Goosefish actinovirus</t>
  </si>
  <si>
    <t>Spikefish actinovirus</t>
  </si>
  <si>
    <t>Agantavirinae</t>
  </si>
  <si>
    <t>Agnathovirus</t>
  </si>
  <si>
    <t>Hagfish agnathovirus</t>
  </si>
  <si>
    <t>Mammantavirinae</t>
  </si>
  <si>
    <t>Seewis orhtohantavirus</t>
  </si>
  <si>
    <t>Tigray orthohantavirus</t>
  </si>
  <si>
    <t>Repantavirinae</t>
  </si>
  <si>
    <t>Reptillovirus</t>
  </si>
  <si>
    <t>Gecko reptillovirus</t>
  </si>
  <si>
    <t>Leishbuviridae</t>
  </si>
  <si>
    <t>Shilevirus</t>
  </si>
  <si>
    <t>Leptomonas shilevirus</t>
  </si>
  <si>
    <t>2018.017M.A.v3.Bunyavirales_2fam5gen.zip</t>
  </si>
  <si>
    <t>Estero Real orthonairovirus</t>
  </si>
  <si>
    <t>Aino orthobunyavirus</t>
  </si>
  <si>
    <t>2018.008M.A.v3.Orthobunyavirus_38sp.zip</t>
  </si>
  <si>
    <t>Anadyr orthobunyavirus</t>
  </si>
  <si>
    <t>Anhembi orthobunyavirus</t>
  </si>
  <si>
    <t>Batai orthobunyavirus</t>
  </si>
  <si>
    <t>Bellavista orthobunyavirus</t>
  </si>
  <si>
    <t>Birao orthobunyavirus</t>
  </si>
  <si>
    <t>Bozo orthobunyavirus</t>
  </si>
  <si>
    <t>Buttonwillow orthobunyavirus</t>
  </si>
  <si>
    <t>Cache Valley orthobunyavirus</t>
  </si>
  <si>
    <t>Cachoeira Porteira orthobunyavirus</t>
  </si>
  <si>
    <t>Cat Que orthobunyavirus</t>
  </si>
  <si>
    <t>Enseada orthobunyavirus</t>
  </si>
  <si>
    <t>Faceys paddock orthobunyavirus</t>
  </si>
  <si>
    <t>Fort Sherman orthobunyavirus</t>
  </si>
  <si>
    <t>Iaco orthobunyavirus</t>
  </si>
  <si>
    <t>Ilesha orthobunyavirus</t>
  </si>
  <si>
    <t>Ingwavuma orthobunyavirus</t>
  </si>
  <si>
    <t>Jamestown Canyon orthobunyavirus</t>
  </si>
  <si>
    <t>Jatobal orthobunyavirus</t>
  </si>
  <si>
    <t>Keystone orthobunyavirus</t>
  </si>
  <si>
    <t>La Crosse orthobunyavirus</t>
  </si>
  <si>
    <t>Leanyer orthobunyavirus</t>
  </si>
  <si>
    <t>Lumbo orthbunyavirus</t>
  </si>
  <si>
    <t>Macaua orthobunyavirus</t>
  </si>
  <si>
    <t>Maguari orthobunyavirus</t>
  </si>
  <si>
    <t>Melao orthobunyavirus</t>
  </si>
  <si>
    <t>Mermet orthobunyavirus</t>
  </si>
  <si>
    <t>Peaton orthobunyavirus</t>
  </si>
  <si>
    <t>Potosi orthobunyavirus</t>
  </si>
  <si>
    <t>Sabo orthobunyavirus</t>
  </si>
  <si>
    <t>San Angelo orthobunyavirus</t>
  </si>
  <si>
    <t>Sango orthobunyavirus</t>
  </si>
  <si>
    <t>Schmallenberg orthobunyavirus</t>
  </si>
  <si>
    <t>Serra do Navio orthobunyavirus</t>
  </si>
  <si>
    <t>Snowshoe hare orthobunyavirus</t>
  </si>
  <si>
    <t>Sororoca orthobunyavirus</t>
  </si>
  <si>
    <t>Tahyna orthobunyavirus</t>
  </si>
  <si>
    <t>Tataguine orthobunyavirus</t>
  </si>
  <si>
    <t>Tensaw orthobunyavirus</t>
  </si>
  <si>
    <t>Trivittatus orthobunyavirus</t>
  </si>
  <si>
    <t>Utinga orthobunyavirus</t>
  </si>
  <si>
    <t>Witwatersrand orthobunyavirus</t>
  </si>
  <si>
    <t>Pacuvirus</t>
  </si>
  <si>
    <t>Pacui pacuvirus</t>
  </si>
  <si>
    <t>Rio Preto da Eva pacuvirus</t>
  </si>
  <si>
    <t>Tapirape pacuvirus</t>
  </si>
  <si>
    <t>Culex orthophasmavirus</t>
  </si>
  <si>
    <t>2018.009M.A.v1.Phasmavirus_5sp.zip</t>
  </si>
  <si>
    <t>Ganda orthophasmavirus</t>
  </si>
  <si>
    <t>Odonate orthophasmavirus</t>
  </si>
  <si>
    <t>Qingling orthophasmavirus</t>
  </si>
  <si>
    <t>Seattle orthophasmavirus</t>
  </si>
  <si>
    <t>Sawastrivirus</t>
  </si>
  <si>
    <t>Sanxia sawastrivirus</t>
  </si>
  <si>
    <t>Guertu banyangvirus</t>
  </si>
  <si>
    <t>2018.013M.A.v1.Banyangvirus_sp.zip</t>
  </si>
  <si>
    <t>Heartland banyangvirus</t>
  </si>
  <si>
    <t>Kabutovirus</t>
  </si>
  <si>
    <t>Huangpi kabutovirus</t>
  </si>
  <si>
    <t>Kabuto mountain kabutovirus</t>
  </si>
  <si>
    <t>Laulavirus</t>
  </si>
  <si>
    <t>Laurel Lake laulavirus</t>
  </si>
  <si>
    <t>Mukawa phlebovirus</t>
  </si>
  <si>
    <t>2018.014M.A.v1.Phlebovirus_sp.zip</t>
  </si>
  <si>
    <t>Wenrivirus</t>
  </si>
  <si>
    <t>Shrimp wenrivirus</t>
  </si>
  <si>
    <t>Tospoviridae</t>
  </si>
  <si>
    <t>Orthotospovirus</t>
  </si>
  <si>
    <t>Bean necrotic mosaic orthotospovirus</t>
  </si>
  <si>
    <t>2018.025P.A.v1.Orthotospovirus_7sp.zip</t>
  </si>
  <si>
    <t>Calla lily chlorotic spot orthotospovirus</t>
  </si>
  <si>
    <t>Capsicum chlorosis orthotospovirus</t>
  </si>
  <si>
    <t>Chrysanthemum stem necrosis orthotospovirus</t>
  </si>
  <si>
    <t>Melon severe mosaic orthotospovirus</t>
  </si>
  <si>
    <t>Melon yellow spot orthotospovirus</t>
  </si>
  <si>
    <t>Soybean vein necrosis orthotospovirus</t>
  </si>
  <si>
    <t>Coguvirus</t>
  </si>
  <si>
    <t>Citrus coguvirus</t>
  </si>
  <si>
    <t>2018.020P.A.v1.Coguvirus.zip</t>
  </si>
  <si>
    <t>Agtrevirus</t>
  </si>
  <si>
    <t>Kuttervirus</t>
  </si>
  <si>
    <t>Herelleviridae</t>
  </si>
  <si>
    <t>Bastillevirinae</t>
  </si>
  <si>
    <t>Bacillus virus Evoli</t>
  </si>
  <si>
    <t>2018.118B.A.v2.Herelleviridae.zip</t>
  </si>
  <si>
    <t>Bacillus virus HoodyT</t>
  </si>
  <si>
    <t>Caeruleovirus</t>
  </si>
  <si>
    <t>Bacillus virus BPS10C</t>
  </si>
  <si>
    <t>Bacillus virus Mater</t>
  </si>
  <si>
    <t>Bacillus virus Moonbeam</t>
  </si>
  <si>
    <t>Bacillus virus SIOphi</t>
  </si>
  <si>
    <t>Brockvirinae</t>
  </si>
  <si>
    <t>Kochikohdavirus</t>
  </si>
  <si>
    <t>Enterococcus virus ECP3</t>
  </si>
  <si>
    <t>Enterococcus virus EF24C</t>
  </si>
  <si>
    <t>Renamed,Moved,Assigned as Type Species,</t>
  </si>
  <si>
    <t>Enterococcus virus EFLK1</t>
  </si>
  <si>
    <t>Enterococcus virus EFDG1</t>
  </si>
  <si>
    <t>Jasinkavirinae</t>
  </si>
  <si>
    <t>Pecentumvirus</t>
  </si>
  <si>
    <t>Listeria virus AG20</t>
  </si>
  <si>
    <t>Listeria virus List36</t>
  </si>
  <si>
    <t>Listeria virus LMSP25</t>
  </si>
  <si>
    <t>Listeria virus LMTA34</t>
  </si>
  <si>
    <t>Listeria virus LMTA148</t>
  </si>
  <si>
    <t>Listeria virus LP048</t>
  </si>
  <si>
    <t>Listeria virus LP064</t>
  </si>
  <si>
    <t>Listeria virus LP083-2</t>
  </si>
  <si>
    <t>Listeria virus WIL1</t>
  </si>
  <si>
    <t>Okubovirus</t>
  </si>
  <si>
    <t>Twortvirinae</t>
  </si>
  <si>
    <t>Staphylococcus virus Sb1</t>
  </si>
  <si>
    <t>Brochothrix virus A9</t>
  </si>
  <si>
    <t>Firehammervirus</t>
  </si>
  <si>
    <t>Fletchervirus</t>
  </si>
  <si>
    <t>Campylobacter virus Los1</t>
  </si>
  <si>
    <t>2018.125B.A.v1.Myoviridae_61sp.zip</t>
  </si>
  <si>
    <t>Felixounavirus</t>
  </si>
  <si>
    <t>Escherichia virus Alf5</t>
  </si>
  <si>
    <t>Salmonella virus BPS15Q2</t>
  </si>
  <si>
    <t>Salmonella virus BPS17L1</t>
  </si>
  <si>
    <t>Salmonella virus BPS17W1</t>
  </si>
  <si>
    <t>Salmonella virus Si3</t>
  </si>
  <si>
    <t>Salmonella virus SP116</t>
  </si>
  <si>
    <t>2018.105B.A.v2.Felixounavirus_sp.zip</t>
  </si>
  <si>
    <t>Kolesnikvirus</t>
  </si>
  <si>
    <t>Shigella virus Sf13</t>
  </si>
  <si>
    <t>Shigella virus Sf14</t>
  </si>
  <si>
    <t>Shigella virus Sf17</t>
  </si>
  <si>
    <t>Hpunavirus</t>
  </si>
  <si>
    <t>Peduovirus</t>
  </si>
  <si>
    <t>Escherichia virus fiAA91ss</t>
  </si>
  <si>
    <t>Escherichia virus pro147</t>
  </si>
  <si>
    <t>Escherichia virus pro483</t>
  </si>
  <si>
    <t>Salmonella virus FSLSP004</t>
  </si>
  <si>
    <t>Dhakavirus</t>
  </si>
  <si>
    <t>Escherichia virus MX01</t>
  </si>
  <si>
    <t>Escherichia virus WG01</t>
  </si>
  <si>
    <t>Gaprivervirus</t>
  </si>
  <si>
    <t>Gelderlandvirus</t>
  </si>
  <si>
    <t>Salmonella virus Melville</t>
  </si>
  <si>
    <t>Salmonella virus STP4a</t>
  </si>
  <si>
    <t>Jiaodavirus</t>
  </si>
  <si>
    <t>Karamvirus</t>
  </si>
  <si>
    <t>Krischvirus</t>
  </si>
  <si>
    <t>Escherichia virus ECD7</t>
  </si>
  <si>
    <t>Escherichia virus GEC3S</t>
  </si>
  <si>
    <t>Citrobacter virus CF1</t>
  </si>
  <si>
    <t>Mosigvirus</t>
  </si>
  <si>
    <t>Escherichia virus APCEc01</t>
  </si>
  <si>
    <t>Escherichia virus HP3</t>
  </si>
  <si>
    <t>Escherichia virus O157tp3</t>
  </si>
  <si>
    <t>Escherichia virus O157tp6</t>
  </si>
  <si>
    <t>Escherichia virus PhAPEC2</t>
  </si>
  <si>
    <t>Escherichia virus ST0</t>
  </si>
  <si>
    <t>Shigella virus SHSML521</t>
  </si>
  <si>
    <t>Schizotequatrovirus</t>
  </si>
  <si>
    <t>Slopekvirus</t>
  </si>
  <si>
    <t>Klebsiella virus PMBT1</t>
  </si>
  <si>
    <t>Tequatrovirus</t>
  </si>
  <si>
    <t>Escherichia virus CF2</t>
  </si>
  <si>
    <t>Escherichia virus HY03</t>
  </si>
  <si>
    <t>Escherichia virus slur03</t>
  </si>
  <si>
    <t>Escherichia virus slur04</t>
  </si>
  <si>
    <t>Shigella virus Sf21</t>
  </si>
  <si>
    <t>Shigella virus Sf22</t>
  </si>
  <si>
    <t>Shigella virus Sf24</t>
  </si>
  <si>
    <t>Shigella virus SHBML501</t>
  </si>
  <si>
    <t>Avunavirus</t>
  </si>
  <si>
    <t>Escherichia virus Av05</t>
  </si>
  <si>
    <t>2018.133B.A.v1.Vequintavirinae_1gen5sp.zip</t>
  </si>
  <si>
    <t>Certrevirus</t>
  </si>
  <si>
    <t>Seunavirus</t>
  </si>
  <si>
    <t>Salmonella virus PVPSE1</t>
  </si>
  <si>
    <t>2018.132B.A.v1.Caudovirales_2sp1ren.zip</t>
  </si>
  <si>
    <t>Vequintavirus</t>
  </si>
  <si>
    <t>Escherichia virus APECc02</t>
  </si>
  <si>
    <t>Escherichia virus Murica</t>
  </si>
  <si>
    <t>Escherichia virus slur16</t>
  </si>
  <si>
    <t>Escherichia virus V18</t>
  </si>
  <si>
    <t>Agricanvirus</t>
  </si>
  <si>
    <t>Erwinia virus Desertfox</t>
  </si>
  <si>
    <t>Alcyoneusvirus</t>
  </si>
  <si>
    <t>Klebsiella virus K64-1</t>
  </si>
  <si>
    <t>2018.024B.A.v2.Alcyoneusvirus.zip</t>
  </si>
  <si>
    <t>Klebsiella virus RaK2</t>
  </si>
  <si>
    <t>Aphroditevirus</t>
  </si>
  <si>
    <t>Vibrio virus Aphrodite1</t>
  </si>
  <si>
    <t>2018.061B.A.v1.Aphroditevirus.zip</t>
  </si>
  <si>
    <t>Asteriusvirus</t>
  </si>
  <si>
    <t>Escherichia virus 121Q</t>
  </si>
  <si>
    <t>2018.025B.A.v1.Asteriusvirus.zip</t>
  </si>
  <si>
    <t>Eschierichia virus PBECO4</t>
  </si>
  <si>
    <t>Bequatrovirus</t>
  </si>
  <si>
    <t>Bixzunavirus</t>
  </si>
  <si>
    <t>Mycobacterium virus Lukilu</t>
  </si>
  <si>
    <t>Brunovirus</t>
  </si>
  <si>
    <t>Salmonella virus SEN34</t>
  </si>
  <si>
    <t>2018.066B.A.v1.Brunovirus.zip</t>
  </si>
  <si>
    <t>Busanvirus</t>
  </si>
  <si>
    <t>Acidovorax virus ACP17</t>
  </si>
  <si>
    <t>2018.067B.A.v1.Busanvirus.zip</t>
  </si>
  <si>
    <t>Chakrabartyvirus</t>
  </si>
  <si>
    <t>Pseudomonas virus pf16</t>
  </si>
  <si>
    <t>2018.068B.A.v1.Chakrabartyvirus.zip</t>
  </si>
  <si>
    <t>Chiangmaivirus</t>
  </si>
  <si>
    <t>Emdodecavirus</t>
  </si>
  <si>
    <t>Eneladusvirus</t>
  </si>
  <si>
    <t>Serratia virus BF</t>
  </si>
  <si>
    <t>2018.026B.A.v1.Eneladusvirus.zip</t>
  </si>
  <si>
    <t>Yersinia virus Yen9-04</t>
  </si>
  <si>
    <t>Erskinevirus</t>
  </si>
  <si>
    <t>Ficleduovirus</t>
  </si>
  <si>
    <t>Flavobacterium virus FCL2</t>
  </si>
  <si>
    <t>2018.114B.A.v1.Ficleduovirus.zip</t>
  </si>
  <si>
    <t>Flavobacterium virus FCV1</t>
  </si>
  <si>
    <t>Flaumdravirus</t>
  </si>
  <si>
    <t>Pseudomonas virus KIL2</t>
  </si>
  <si>
    <t>2018.071B.A.v2.Flaumdravirus.zip</t>
  </si>
  <si>
    <t>Pseudomonas virus KIL4</t>
  </si>
  <si>
    <t>Gofduovirus</t>
  </si>
  <si>
    <t>Edwardsiella virus GF2</t>
  </si>
  <si>
    <t>2018.049B.A.v1.Gofduovirus.zip</t>
  </si>
  <si>
    <t>Iapetusvirus</t>
  </si>
  <si>
    <t>Erwinia virus EaH1</t>
  </si>
  <si>
    <t>2018.005B.A.v1.Iapetusvirus.zip</t>
  </si>
  <si>
    <t>Iodovirus</t>
  </si>
  <si>
    <t>Iodobacter virus PLPE</t>
  </si>
  <si>
    <t>2018.001B.A.v1.Iodovirus.zip</t>
  </si>
  <si>
    <t>Ionavirus</t>
  </si>
  <si>
    <t>Dellftia virus PhiW14</t>
  </si>
  <si>
    <t>2018.074B.A.v1.Ionavirus.zip</t>
  </si>
  <si>
    <t>Jedunavirus</t>
  </si>
  <si>
    <t>Klebsiella virus JD001</t>
  </si>
  <si>
    <t>2018.076B.A.v1.Jedunavirus.zip</t>
  </si>
  <si>
    <t>Klebsiella virus KpV52</t>
  </si>
  <si>
    <t>Klebsiella virus KpV80</t>
  </si>
  <si>
    <t>Jilinvirus</t>
  </si>
  <si>
    <t>Escherichia virus ECOO78</t>
  </si>
  <si>
    <t>Kleczkowskavirus</t>
  </si>
  <si>
    <t>Lubbockvirus</t>
  </si>
  <si>
    <t>Arthrobacter virus BarretLemon</t>
  </si>
  <si>
    <t>Arthrobacter virus Beans</t>
  </si>
  <si>
    <t>Arthrobacter virus Piccoletto</t>
  </si>
  <si>
    <t>Arthrobacter virus Shade</t>
  </si>
  <si>
    <t>Metrivirus</t>
  </si>
  <si>
    <t>Acinetobacter virus ME3</t>
  </si>
  <si>
    <t>2018.108B.A.v1.Metrivirus.zip</t>
  </si>
  <si>
    <t>Mieseafarmvirus</t>
  </si>
  <si>
    <t>Mimasvirus</t>
  </si>
  <si>
    <t>Cronobacter virus GAP32</t>
  </si>
  <si>
    <t>2018.027B.A.v1.Mimasvirus.zip</t>
  </si>
  <si>
    <t>Pectinobacterium virus CBB</t>
  </si>
  <si>
    <t>Nankokuvirus</t>
  </si>
  <si>
    <t>Pseudomonas virus G1</t>
  </si>
  <si>
    <t>Pseudomonas virus PS24</t>
  </si>
  <si>
    <t>Nazgulvirus</t>
  </si>
  <si>
    <t>Burkholderia virus BcepNazgul</t>
  </si>
  <si>
    <t>2018.053B.A.v1.Nazgulvirus.zip</t>
  </si>
  <si>
    <t>Nitunavirus</t>
  </si>
  <si>
    <t>Noxifervirus</t>
  </si>
  <si>
    <t>Pseudomonas virus Noxifer</t>
  </si>
  <si>
    <t>2018.006B.A.v1.Noxifervirus.zip</t>
  </si>
  <si>
    <t>Obolenskvirus</t>
  </si>
  <si>
    <t>Acinetobacter virus AbP2</t>
  </si>
  <si>
    <t>2018.109B.A.v1.Obolenskvirus_4sp.zip</t>
  </si>
  <si>
    <t>Acinetobacter virus LZ35</t>
  </si>
  <si>
    <t>Acinetobacter virus WCHABP1</t>
  </si>
  <si>
    <t>Acinetobacter virus WCHABP12</t>
  </si>
  <si>
    <t>Otagovirus</t>
  </si>
  <si>
    <t>Pseudomonas virus Psa374</t>
  </si>
  <si>
    <t>2018.083B.A.v1.Otagovirus.zip</t>
  </si>
  <si>
    <t>Pseudomonas virus VCM</t>
  </si>
  <si>
    <t>Pseudomonas virus MAG1</t>
  </si>
  <si>
    <t>Pseudomonas virus PA10</t>
  </si>
  <si>
    <t>Pseudomonas virus PAKP2</t>
  </si>
  <si>
    <t>Pseudomonas virus phiMK</t>
  </si>
  <si>
    <t>Pseudomonas virus Zigelbrucke</t>
  </si>
  <si>
    <t>Pseudomonas virus CEBDP1</t>
  </si>
  <si>
    <t>Pseudomonas virus E215</t>
  </si>
  <si>
    <t>Pseudomonas virus E217</t>
  </si>
  <si>
    <t>Pseudomonas virus KTN6</t>
  </si>
  <si>
    <t>Pseudomonas virus NH4</t>
  </si>
  <si>
    <t>Pseudomonas virus PA5</t>
  </si>
  <si>
    <t>Pseudomonas virus PS44</t>
  </si>
  <si>
    <t>Peatvirus</t>
  </si>
  <si>
    <t>Pectinobacterium virus PEAT2</t>
  </si>
  <si>
    <t>2018.084B.A.v1.Peatvirus.zip</t>
  </si>
  <si>
    <t>Pseudomonas virus SL2</t>
  </si>
  <si>
    <t>Plaisancevirus</t>
  </si>
  <si>
    <t>Pseudomonas virus PMW</t>
  </si>
  <si>
    <t>2018.085B.A.v1.Plaisancevirus.zip</t>
  </si>
  <si>
    <t>Polybotosvirus</t>
  </si>
  <si>
    <t>Agrobacterium virus Atuph07</t>
  </si>
  <si>
    <t>2018.030B.A.v1.Polybotosvirus.zip</t>
  </si>
  <si>
    <t>Popoffvirus</t>
  </si>
  <si>
    <t>Aeromonas virus 56</t>
  </si>
  <si>
    <t>2018.054B.A.v1.Popoffvirus.zip</t>
  </si>
  <si>
    <t>Punavirus</t>
  </si>
  <si>
    <t>Escherichia virus RCS47</t>
  </si>
  <si>
    <t>Salmonella virus SJ46</t>
  </si>
  <si>
    <t>Radnorvirus</t>
  </si>
  <si>
    <t>Arthrobacter virus Colucci</t>
  </si>
  <si>
    <t>Ripduovirus</t>
  </si>
  <si>
    <t>Ralstonia virus RP12</t>
  </si>
  <si>
    <t>2018.088B.A.v1.Ripduovirus.zip</t>
  </si>
  <si>
    <t>Risingsunvirus</t>
  </si>
  <si>
    <t>Erwinia virus Risingsun</t>
  </si>
  <si>
    <t>2018.089B.A.v1.Risingsunvirus.zip</t>
  </si>
  <si>
    <t>Seoulvirus</t>
  </si>
  <si>
    <t>Sepunavirus</t>
  </si>
  <si>
    <t>Shalavirus</t>
  </si>
  <si>
    <t>Bacillus virus Shbh1</t>
  </si>
  <si>
    <t>2018.121B.A.v1.Shalavirus.zip</t>
  </si>
  <si>
    <t>Siminovitchvirus</t>
  </si>
  <si>
    <t>Tegunavirus</t>
  </si>
  <si>
    <t>Thornevirus</t>
  </si>
  <si>
    <t>Bacillus virus SP15</t>
  </si>
  <si>
    <t>2018.100B.A.v1.Thornevirus.zip</t>
  </si>
  <si>
    <t>Tidunavirus</t>
  </si>
  <si>
    <t>Vibrio virus pTD1</t>
  </si>
  <si>
    <t>2018.101B.A.v1.Tidunavirus.zip</t>
  </si>
  <si>
    <t>Vibrio virus VP4B</t>
  </si>
  <si>
    <t>Tijeunavirus</t>
  </si>
  <si>
    <t>Tetrasphaera virus TJE1</t>
  </si>
  <si>
    <t>2018.056B.A.v1.Tijeunavirus.zip</t>
  </si>
  <si>
    <t>Tulanevirus</t>
  </si>
  <si>
    <t>Aeromonas virus Asgz</t>
  </si>
  <si>
    <t>Vidavervirus</t>
  </si>
  <si>
    <t>Viunavirus</t>
  </si>
  <si>
    <t>Winklervirus</t>
  </si>
  <si>
    <t>Serratia virus CHI14</t>
  </si>
  <si>
    <t>2018.091B.A.v1.Winklervirus.zip</t>
  </si>
  <si>
    <t>Yokohamavirus</t>
  </si>
  <si>
    <t>Drulisvirus</t>
  </si>
  <si>
    <t>Friunavirus</t>
  </si>
  <si>
    <t>Acinetobacter virus AS11</t>
  </si>
  <si>
    <t>2018.106B.A.v1.Friunavirus_11sp.zip</t>
  </si>
  <si>
    <t>Acinetobacter virus AS12</t>
  </si>
  <si>
    <t>Acinetobacter virus SH-Ab 15519</t>
  </si>
  <si>
    <t>Acinetobacter virus WCHABP5</t>
  </si>
  <si>
    <t>Acintetobacter virus B1</t>
  </si>
  <si>
    <t>Acintetobacter virus B2</t>
  </si>
  <si>
    <t>Acintetobacter virus B5</t>
  </si>
  <si>
    <t>Acintetobacter virus D2</t>
  </si>
  <si>
    <t>Acintetobacter virus P1</t>
  </si>
  <si>
    <t>Acintetobacter virus P2</t>
  </si>
  <si>
    <t>Acintetobacter virus phiAB6</t>
  </si>
  <si>
    <t>Napahaivirus</t>
  </si>
  <si>
    <t>Pseudomonas virus VSW3</t>
  </si>
  <si>
    <t>2018.096B.A.v1.Napahaivirus.zip</t>
  </si>
  <si>
    <t>Phimunavirus</t>
  </si>
  <si>
    <t>Pectobacterium virus CB5</t>
  </si>
  <si>
    <t>2018.110B.A.v1.Phimunavirus.zip</t>
  </si>
  <si>
    <t>Pectobacterium virus fM1</t>
  </si>
  <si>
    <t>Pectobacterium virus Peat1</t>
  </si>
  <si>
    <t>Pectobacterium virus PP90</t>
  </si>
  <si>
    <t>Pollyceevirus</t>
  </si>
  <si>
    <t>Pseudomonas virus PollyC</t>
  </si>
  <si>
    <t>2018.086B.A.v1.Pollyceevirus.zip</t>
  </si>
  <si>
    <t>Przondovirus</t>
  </si>
  <si>
    <t>Teseptimavirus</t>
  </si>
  <si>
    <t>Zindervirus</t>
  </si>
  <si>
    <t>Cepunavirus</t>
  </si>
  <si>
    <t>Negarvirus</t>
  </si>
  <si>
    <t>Lactococcus virus WP2</t>
  </si>
  <si>
    <t>2018.004B.A.v3.Negarvirus.zip</t>
  </si>
  <si>
    <t>Rosenblumvirus</t>
  </si>
  <si>
    <t>Salasvirus</t>
  </si>
  <si>
    <t>Diegovirus</t>
  </si>
  <si>
    <t>Oslovirus</t>
  </si>
  <si>
    <t>Traversvirus</t>
  </si>
  <si>
    <t>Aqualcavirus</t>
  </si>
  <si>
    <t>Aquamicrobium virus P14</t>
  </si>
  <si>
    <t>2018.046B.A.v1.Aqualcavirus.zip</t>
  </si>
  <si>
    <t>Baltimorevirus</t>
  </si>
  <si>
    <t>Bifseptvirus</t>
  </si>
  <si>
    <t>Pseudomonas virus Andromeda</t>
  </si>
  <si>
    <t>2018.063B.A.v1.Bifseptvirus.zip</t>
  </si>
  <si>
    <t>Pseudomonas virus Bf7</t>
  </si>
  <si>
    <t>Bjornvirus</t>
  </si>
  <si>
    <t>Pseudomonas virus Bjorn</t>
  </si>
  <si>
    <t>2018.064B.A.v1.Bjornvirus.zip</t>
  </si>
  <si>
    <t>Bruynoghevirus</t>
  </si>
  <si>
    <t>Enhodamvirus</t>
  </si>
  <si>
    <t>Enquatrovirus</t>
  </si>
  <si>
    <t>Fipvunavirus</t>
  </si>
  <si>
    <t>Flavobacterium virus Fpv1</t>
  </si>
  <si>
    <t>2018.115B.A.v1.Fipvunavirus.zip</t>
  </si>
  <si>
    <t>Flavobacterium virus Fpv4</t>
  </si>
  <si>
    <t>Gamaleyavirus</t>
  </si>
  <si>
    <t>Hollowayvirus</t>
  </si>
  <si>
    <t>Ithacavirus</t>
  </si>
  <si>
    <t>Jasminevirus</t>
  </si>
  <si>
    <t>Arthrobacter virus Adat</t>
  </si>
  <si>
    <t>2018.014B.A.v1.Jasminevirus.zip</t>
  </si>
  <si>
    <t>Arthrobacter virus Jasmine</t>
  </si>
  <si>
    <t>Johnsonvirus</t>
  </si>
  <si>
    <t>Kafunavirus</t>
  </si>
  <si>
    <t>Kochitakasuvirus</t>
  </si>
  <si>
    <t>Krylovvirus</t>
  </si>
  <si>
    <t>Pseudomonas virus tf</t>
  </si>
  <si>
    <t>2018.078B.A.v1.Krylovvirus.zip</t>
  </si>
  <si>
    <t>Kuravirus</t>
  </si>
  <si>
    <t>Lederbergvirus</t>
  </si>
  <si>
    <t>Salmonella virus SE1Spa</t>
  </si>
  <si>
    <t>Lessievirus</t>
  </si>
  <si>
    <t>Lightbulbvirus</t>
  </si>
  <si>
    <t>Litunavirus</t>
  </si>
  <si>
    <t>Luzseptimavirus</t>
  </si>
  <si>
    <t>Myxoctovirus</t>
  </si>
  <si>
    <t>Myxococcus virus Mx8</t>
  </si>
  <si>
    <t>2018.081B.A.v1.Myxoctovirus.zip</t>
  </si>
  <si>
    <t>Perisivirus</t>
  </si>
  <si>
    <t>Rauchvirus</t>
  </si>
  <si>
    <t>Schmidvirus</t>
  </si>
  <si>
    <t>Tabernariusvirus</t>
  </si>
  <si>
    <t>Pseudomonas virus tabernarius</t>
  </si>
  <si>
    <t>2018.099B.A.v1.Tabernariusvirus.zip</t>
  </si>
  <si>
    <t>Uetakevirus</t>
  </si>
  <si>
    <t>Vicosavirus</t>
  </si>
  <si>
    <t>Pseudomonas virus NV1</t>
  </si>
  <si>
    <t>2018.103B.A.v1.Vicosavirus.zip</t>
  </si>
  <si>
    <t>Pseudomonas virus UFVP2</t>
  </si>
  <si>
    <t>Arequatrovirus</t>
  </si>
  <si>
    <t>Pegunavirus</t>
  </si>
  <si>
    <t>Mycobacterium virus TA17a</t>
  </si>
  <si>
    <t>Cornellvirus</t>
  </si>
  <si>
    <t>Kagunavirus</t>
  </si>
  <si>
    <t>Esherichia virus Golestan</t>
  </si>
  <si>
    <t>2018.117B.A.v1.Kagunavirus_sp.zip</t>
  </si>
  <si>
    <t>Limdunavirus</t>
  </si>
  <si>
    <t>Unaquatrovirus</t>
  </si>
  <si>
    <t>Gordonia virus Nymphadora</t>
  </si>
  <si>
    <t>Renamed,</t>
  </si>
  <si>
    <t>2018.002B.A.v1.Nymphadoravirus.ren.zip</t>
  </si>
  <si>
    <t>Eclunavirus</t>
  </si>
  <si>
    <t>Enterobacter virus EcL1</t>
  </si>
  <si>
    <t>2018.130B.A.v1.Tunavirinae_3gen.zip</t>
  </si>
  <si>
    <t>Hanrivervirus</t>
  </si>
  <si>
    <t>Shigella virus pSf1</t>
  </si>
  <si>
    <t>Rogunavirus</t>
  </si>
  <si>
    <t>Sertoctavirus</t>
  </si>
  <si>
    <t>Escherichia virus SRT8</t>
  </si>
  <si>
    <t>Tunavirus</t>
  </si>
  <si>
    <t>Shigella virus ISF002</t>
  </si>
  <si>
    <t>2018.135B.A.v1.Tunavirus_sp.zip</t>
  </si>
  <si>
    <t>Webervirus</t>
  </si>
  <si>
    <t>Abidjanvirus</t>
  </si>
  <si>
    <t>Ahduovirus</t>
  </si>
  <si>
    <t>Burkholderia virus AH2</t>
  </si>
  <si>
    <t>2018.045B.A.v1.Ahduovirus.zip</t>
  </si>
  <si>
    <t>Arthrobacteria virus Molivia</t>
  </si>
  <si>
    <t>2018.044B.A.v1.Amigovirus_sp.zip</t>
  </si>
  <si>
    <t>Bantamvirus</t>
  </si>
  <si>
    <t>Gordonia virus Bantam</t>
  </si>
  <si>
    <t>2018.008B.A.v1.Bantamvirus.zip</t>
  </si>
  <si>
    <t>Beetrevirus</t>
  </si>
  <si>
    <t>Pseudomonas virus B3</t>
  </si>
  <si>
    <t>2018.140B.A.v1.Beetrevirus.zip</t>
  </si>
  <si>
    <t>Pseudomonas virus JBD67</t>
  </si>
  <si>
    <t>Pseudomonas virus JD18</t>
  </si>
  <si>
    <t>Pseudomonas virus PM105</t>
  </si>
  <si>
    <t>Bendigovirus</t>
  </si>
  <si>
    <t>Gordonia virus GMA6</t>
  </si>
  <si>
    <t>2018.009B.A.v2.Bendigovirus.zip</t>
  </si>
  <si>
    <t>Bernalvirus</t>
  </si>
  <si>
    <t>Betterkatzvirus</t>
  </si>
  <si>
    <t>Gordonia virus BetterKatz</t>
  </si>
  <si>
    <t>2018.062B.A.v1.Betterkatzvirus.zip</t>
  </si>
  <si>
    <t>Bingvirus</t>
  </si>
  <si>
    <t>Streptomyces virus Bing</t>
  </si>
  <si>
    <t>2018.032B.A.v1.Bingvirus.zip</t>
  </si>
  <si>
    <t>Bowservirus</t>
  </si>
  <si>
    <t>Gordonia virus Bowser</t>
  </si>
  <si>
    <t>2018.019B.A.v1.Bowservirus.zip</t>
  </si>
  <si>
    <t>Britbratvirus</t>
  </si>
  <si>
    <t>Gordonia virus Britbrat</t>
  </si>
  <si>
    <t>2018.065B.A.v1.Britbratvirus.zip</t>
  </si>
  <si>
    <t>2018.007B.A.v3.rename137gen6sp.zip</t>
  </si>
  <si>
    <t>Brussowvirus</t>
  </si>
  <si>
    <t>Casadabanvirus</t>
  </si>
  <si>
    <t>Ceduovirus</t>
  </si>
  <si>
    <t>Ceetrepovirus</t>
  </si>
  <si>
    <t>Corynebacterium virus C3PO</t>
  </si>
  <si>
    <t>2018.047B.A.v1.Ceetrepovirus.zip</t>
  </si>
  <si>
    <t>Corynebacterium virus Darwin</t>
  </si>
  <si>
    <t>Corynebacterium virus Zion</t>
  </si>
  <si>
    <t>Cequinquevirus</t>
  </si>
  <si>
    <t>Cetovirus</t>
  </si>
  <si>
    <t>Vibrio virus Ceto</t>
  </si>
  <si>
    <t>2018.134B.A.v1.Cetovirus.zip</t>
  </si>
  <si>
    <t>Vibrio virus pVp1</t>
  </si>
  <si>
    <t>Vibrio virus Thalassa</t>
  </si>
  <si>
    <t>Chenonavirus</t>
  </si>
  <si>
    <t>Cheoctovirus</t>
  </si>
  <si>
    <t>2018.137B.A.v1.Siphoviridae_ren5sp.zip</t>
  </si>
  <si>
    <t>Chungbukvirus</t>
  </si>
  <si>
    <t>Pseudomonas virus Ptobp6g</t>
  </si>
  <si>
    <t>2018.069B.A.v1.Chungbukvirus.zip</t>
  </si>
  <si>
    <t>Chunghsingvirus</t>
  </si>
  <si>
    <t>Corynebacterium virus P1201</t>
  </si>
  <si>
    <t>2018.048B.A.v1.Chunghsingvirus.zip</t>
  </si>
  <si>
    <t>Cimpunavirus</t>
  </si>
  <si>
    <t>Clavibacter virus CMP1</t>
  </si>
  <si>
    <t>2018.033B.A.v1.Cimpunavirus.zip</t>
  </si>
  <si>
    <t>Cinunavirus</t>
  </si>
  <si>
    <t>Clavibacter virus CN1A</t>
  </si>
  <si>
    <t>2018.034B.A.v1.Cinunavirus.zip</t>
  </si>
  <si>
    <t>Coetzeevirus</t>
  </si>
  <si>
    <t>Delepquintavirus</t>
  </si>
  <si>
    <t>Stenotrophomonas virus DLP5</t>
  </si>
  <si>
    <t>2018.112B.A.v1.Delepquintavirus.zip</t>
  </si>
  <si>
    <t>Detrevirus</t>
  </si>
  <si>
    <t>Dhillonvirus</t>
  </si>
  <si>
    <t>Dismasvirus</t>
  </si>
  <si>
    <t>Microbacterium virus Dismas</t>
  </si>
  <si>
    <t>2018.035B.A.v1.Dismasvirus.zip</t>
  </si>
  <si>
    <t>Efquatrovirus</t>
  </si>
  <si>
    <t>Enterococcus virus AL2</t>
  </si>
  <si>
    <t>2018.113B.A.v1.Efquatrovirus.zip</t>
  </si>
  <si>
    <t>Enterococcus virus AL3</t>
  </si>
  <si>
    <t>Enterococcus virus AUEF3</t>
  </si>
  <si>
    <t>Enterococcus virus EcZZ2</t>
  </si>
  <si>
    <t>Enterococcus virus EF3</t>
  </si>
  <si>
    <t>Enterococcus virus EF4</t>
  </si>
  <si>
    <t>Enterococcus virus EfaCPT1</t>
  </si>
  <si>
    <t>Enterococcus virus IME196</t>
  </si>
  <si>
    <t>Enterococcus virus LY0322</t>
  </si>
  <si>
    <t>Enterococcus virus phiSHEF2</t>
  </si>
  <si>
    <t>Enterococcus virus phiSHEF4</t>
  </si>
  <si>
    <t>Enterococcus virus phiSHEF5</t>
  </si>
  <si>
    <t>Enterococcus virus PMBT2</t>
  </si>
  <si>
    <t>Enterococcus virus SANTOR1</t>
  </si>
  <si>
    <t>Eisenstarkvirus</t>
  </si>
  <si>
    <t>Xanthomonas virus PhiL7</t>
  </si>
  <si>
    <t>Moved,Assigned as Type Species,</t>
  </si>
  <si>
    <t>2018.092B.A.v1.Siphoviridae_2gen.zip</t>
  </si>
  <si>
    <t>Elerivirus</t>
  </si>
  <si>
    <t>Microbacterium virus Eleri</t>
  </si>
  <si>
    <t>2018.036B.A.v1.Elerivirus.zip</t>
  </si>
  <si>
    <t>Emalynvirus</t>
  </si>
  <si>
    <t>Gordonia virus Cozz</t>
  </si>
  <si>
    <t>2018.070B.A.v1.Emalynvirus.zip</t>
  </si>
  <si>
    <t>Gordonia virus Emalyn</t>
  </si>
  <si>
    <t>Gordonia virus GTE2</t>
  </si>
  <si>
    <t>Gordonia virus Troje</t>
  </si>
  <si>
    <t>Eyrevirus</t>
  </si>
  <si>
    <t>Gordonia virus Eyre</t>
  </si>
  <si>
    <t>2018.010B.A.v1.Eyrevirus.zip</t>
  </si>
  <si>
    <t>Farahnazvirus</t>
  </si>
  <si>
    <t>Microbacterium virus ISF9</t>
  </si>
  <si>
    <t>2018.003B.A.v1.Farahnazvirus.zip</t>
  </si>
  <si>
    <t>Fromanvirus</t>
  </si>
  <si>
    <t>Mycobacterium virus BPBiebs31</t>
  </si>
  <si>
    <t>Galaxyvirus</t>
  </si>
  <si>
    <t>Arthrobacter virus Abidatro</t>
  </si>
  <si>
    <t>2018.020B.A.v1.Galaxyvirus.zip</t>
  </si>
  <si>
    <t>Arthrobacter virus Galaxy</t>
  </si>
  <si>
    <t>Galunavirus</t>
  </si>
  <si>
    <t>Gordonia virus GAL1</t>
  </si>
  <si>
    <t>2018.011B.A.v1.Galunavirus.zip</t>
  </si>
  <si>
    <t>Gamtrevirus</t>
  </si>
  <si>
    <t>Gordonia virus GMA3</t>
  </si>
  <si>
    <t>2018.012B.A.v1.Gamtrevirus.zip</t>
  </si>
  <si>
    <t>Gesputvirus</t>
  </si>
  <si>
    <t>Gordonia virus Gsput1</t>
  </si>
  <si>
    <t>2018.021B.A.v1.Gesputvirus.zip</t>
  </si>
  <si>
    <t>Getseptimavirus</t>
  </si>
  <si>
    <t>Gordonia virus GMA7</t>
  </si>
  <si>
    <t>2018.072B.A.v1.Getseptimavirus.zip</t>
  </si>
  <si>
    <t>Gordonia virus GTE7</t>
  </si>
  <si>
    <t>Ghobesvirus</t>
  </si>
  <si>
    <t>Gordonia virus Ghobes</t>
  </si>
  <si>
    <t>2018.022B.A.v1.Ghobesvirus.zip</t>
  </si>
  <si>
    <t>Gorganvirus</t>
  </si>
  <si>
    <t>Proteus virus Isfahan</t>
  </si>
  <si>
    <t>2018.119B.A.v1.Gorganvirus.zip</t>
  </si>
  <si>
    <t>Gorjumvirus</t>
  </si>
  <si>
    <t>Gordonia virus Jumbo</t>
  </si>
  <si>
    <t>2018.013B.A.v1.Gorjumvirus.zip</t>
  </si>
  <si>
    <t>Gustavvirus</t>
  </si>
  <si>
    <t>Gordonia virus Gustav</t>
  </si>
  <si>
    <t>2018.023B.A.v1.Gustavvirus.zip</t>
  </si>
  <si>
    <t>Gordonia virus Mahdia</t>
  </si>
  <si>
    <t>Hedwigvirus</t>
  </si>
  <si>
    <t>Gordonia virus Hedwig</t>
  </si>
  <si>
    <t>2018.028B.A.v1.Hedwigvirus.zip</t>
  </si>
  <si>
    <t>Helsingorvirus</t>
  </si>
  <si>
    <t>Hendrixvirus</t>
  </si>
  <si>
    <t>Holosalinivirus</t>
  </si>
  <si>
    <t>Salinibacter virus M1EM1</t>
  </si>
  <si>
    <t>2018.073B.A.v1.Holosalinivirus.zip</t>
  </si>
  <si>
    <t>Salinibacter virus M8CR30-2</t>
  </si>
  <si>
    <t>Homburgvirus</t>
  </si>
  <si>
    <t>Ikedavirus</t>
  </si>
  <si>
    <t>Corynebacterium virus phi673</t>
  </si>
  <si>
    <t>2018.050B.A.v1.Ikedavirus.zip</t>
  </si>
  <si>
    <t>Corynebacterium virus phi674</t>
  </si>
  <si>
    <t>Ilzatvirus</t>
  </si>
  <si>
    <t>Microbacterium virus Hamlet</t>
  </si>
  <si>
    <t>2018.037B.A.v1.Ilzatvirus.zip</t>
  </si>
  <si>
    <t>Microbacterium virus Ilzat</t>
  </si>
  <si>
    <t>Incheonvrus</t>
  </si>
  <si>
    <t>Inhavirus</t>
  </si>
  <si>
    <t>Jesfedecavirus</t>
  </si>
  <si>
    <t>Vibrio virus JSF10</t>
  </si>
  <si>
    <t>2018.116B.A.v1.Jesfedecavirus.zip</t>
  </si>
  <si>
    <t>Vibrio virus phi3</t>
  </si>
  <si>
    <t>Kairosalinivirus</t>
  </si>
  <si>
    <t>Salinibacter virus M31CR41-2</t>
  </si>
  <si>
    <t>2018.077B.A.v1.Kairosalinivirus.zip</t>
  </si>
  <si>
    <t>Salinibacter virus SRUTV1</t>
  </si>
  <si>
    <t>Klementvirus</t>
  </si>
  <si>
    <t>Kojivirus</t>
  </si>
  <si>
    <t>Microbacterium virus Golden</t>
  </si>
  <si>
    <t>2018.038B.A.v1.Kojivirus.zip</t>
  </si>
  <si>
    <t>Microbacterium virus Koji</t>
  </si>
  <si>
    <t>Kostyavirus</t>
  </si>
  <si>
    <t>Kryptosalinivirus</t>
  </si>
  <si>
    <t>Salinibacter virus M8CC19</t>
  </si>
  <si>
    <t>2018.079B.A.v1.Kryptosalinivirus.zip</t>
  </si>
  <si>
    <t>Salinibacter virus M8CRM1</t>
  </si>
  <si>
    <t>Lacusarxvirus</t>
  </si>
  <si>
    <t>Sphingobium virus Lacusarx</t>
  </si>
  <si>
    <t>2018.080B.A.v1.Lacusarxvirus.zip</t>
  </si>
  <si>
    <t>Lilyvirus</t>
  </si>
  <si>
    <t>Paenibacillus virus Lily</t>
  </si>
  <si>
    <t>2018.052B.A.v1.Lilyvirus.zip</t>
  </si>
  <si>
    <t>Lokivirus</t>
  </si>
  <si>
    <t>Acinetobacter virus IMEAB3</t>
  </si>
  <si>
    <t>2018.107B.A.v1.Lokivirus.zip</t>
  </si>
  <si>
    <t>Acinetobacter virus Loki</t>
  </si>
  <si>
    <t>Lomovskayavirus</t>
  </si>
  <si>
    <t>Lwoffvirus</t>
  </si>
  <si>
    <t>Magadivirus</t>
  </si>
  <si>
    <t>Bacillus virus Mgbh1</t>
  </si>
  <si>
    <t>2018.120B.A.v1.Magadivirus.zip</t>
  </si>
  <si>
    <t>Mapvirus</t>
  </si>
  <si>
    <t>Mardecavirus</t>
  </si>
  <si>
    <t>Minunavirus</t>
  </si>
  <si>
    <t>Microbacterium virus Min1</t>
  </si>
  <si>
    <t>2018.039B.A.v1.Minunavirus.zip</t>
  </si>
  <si>
    <t>Moineauvirus</t>
  </si>
  <si>
    <t>Myunavirus</t>
  </si>
  <si>
    <t>Pectobacterium virus My1</t>
  </si>
  <si>
    <t>2018.126B.A.v1.Myunavirus.zip</t>
  </si>
  <si>
    <t>Nanhaivirus</t>
  </si>
  <si>
    <t>Dinoroseobacter virus D5C</t>
  </si>
  <si>
    <t>2018.095B.A.v1.Nanhaivirus.zip</t>
  </si>
  <si>
    <t>Nickievirus</t>
  </si>
  <si>
    <t>Pseudomonas virus nickie</t>
  </si>
  <si>
    <t>2018.082B.A.v1.Nickievirus.zip</t>
  </si>
  <si>
    <t>Nipunavirus</t>
  </si>
  <si>
    <t>Salmonella virus SE1Kor</t>
  </si>
  <si>
    <t>Novosibvirus</t>
  </si>
  <si>
    <t>Proteus virus PM135</t>
  </si>
  <si>
    <t>2018.127B.A.v1.Novosibvirus.zip</t>
  </si>
  <si>
    <t>Nyceiraevirus</t>
  </si>
  <si>
    <t>Gordonia virus Nyceirae</t>
  </si>
  <si>
    <t>2018.029B.A.v1.Nyceiraevirus.zip</t>
  </si>
  <si>
    <t>Orchidvirus</t>
  </si>
  <si>
    <t>Gordonia virus Orchid</t>
  </si>
  <si>
    <t>2018.016B.A.v1.Orchidvirus.zip</t>
  </si>
  <si>
    <t>Oshimavirus</t>
  </si>
  <si>
    <t>Pahexavirus</t>
  </si>
  <si>
    <t>Pamexvirus</t>
  </si>
  <si>
    <t>Papyrusvirus</t>
  </si>
  <si>
    <t>Pepyhexavirus</t>
  </si>
  <si>
    <t>Pikminvirus</t>
  </si>
  <si>
    <t>Microbacterium virus Pikmin</t>
  </si>
  <si>
    <t>2018.040B.A.v1.Pikminvirus.zip</t>
  </si>
  <si>
    <t>Poushouvirus</t>
  </si>
  <si>
    <t>Corynebacterium virus Poushou</t>
  </si>
  <si>
    <t>2018.017B.A.v1.Poushouvirus.zip</t>
  </si>
  <si>
    <t>Priunavirus</t>
  </si>
  <si>
    <t>Providencia virus PR1</t>
  </si>
  <si>
    <t>2018.128B.A.v1.Priunasvirus.zip</t>
  </si>
  <si>
    <t>Pulverervirus</t>
  </si>
  <si>
    <t>Ravinvirus</t>
  </si>
  <si>
    <t>Rerduovirus</t>
  </si>
  <si>
    <t>Rigallicvirus</t>
  </si>
  <si>
    <t>Rhizobium virus P106B</t>
  </si>
  <si>
    <t>2018.087B.A.v1.Rigallicvirus.zip</t>
  </si>
  <si>
    <t>Rimavirus</t>
  </si>
  <si>
    <t>Strepomyces virus Drgrey</t>
  </si>
  <si>
    <t>2018.041B.A.v1.Rimavirus.zip</t>
  </si>
  <si>
    <t>Strepomyces virus Rima</t>
  </si>
  <si>
    <t>Roufvirus</t>
  </si>
  <si>
    <t>Samistivirus</t>
  </si>
  <si>
    <t>Streptomyces virus Jay2Jay</t>
  </si>
  <si>
    <t>2018.055B.A.v1.Samistivirus.zip</t>
  </si>
  <si>
    <t>Streptomyces virus Mildred21</t>
  </si>
  <si>
    <t>Streptomyces virus NootNoot</t>
  </si>
  <si>
    <t>Streptomyces virus Paradiddles</t>
  </si>
  <si>
    <t>Streptomyces virus Peebs</t>
  </si>
  <si>
    <t>Streptomyces virus Samisti12</t>
  </si>
  <si>
    <t>Samunavirus</t>
  </si>
  <si>
    <t>Pseudomonas virus SM1</t>
  </si>
  <si>
    <t>2018.090B.A.v1.Samunavirus.zip</t>
  </si>
  <si>
    <t>Sanovirus</t>
  </si>
  <si>
    <t>Xylella virus Salvo</t>
  </si>
  <si>
    <t>2018.097B.A.v1.Sanovirus.zip</t>
  </si>
  <si>
    <t>Xylella virus Sano</t>
  </si>
  <si>
    <t>Saphexavirus</t>
  </si>
  <si>
    <t>Sasvirus</t>
  </si>
  <si>
    <t>Corynebacterium virus BFK20</t>
  </si>
  <si>
    <t>2018.075B.A.v1.Sasvirus.zip</t>
  </si>
  <si>
    <t>Saundersvirus</t>
  </si>
  <si>
    <t>Scapunavirus</t>
  </si>
  <si>
    <t>Streptomyces virus Scap1</t>
  </si>
  <si>
    <t>2018.042B.A.v1.Scapunavirus.zip</t>
  </si>
  <si>
    <t>Septimatrevirus</t>
  </si>
  <si>
    <t>Skunavirus</t>
  </si>
  <si>
    <t>Gordonia virus Strosahl</t>
  </si>
  <si>
    <t>2018.098B.A.v2.Soupsvirus_2sp.zip</t>
  </si>
  <si>
    <t>Gordonia virus Wait</t>
  </si>
  <si>
    <t>Sourvirus</t>
  </si>
  <si>
    <t>Gordonia virus Sour</t>
  </si>
  <si>
    <t>2018.122B.A.v1.Sourvirus.zip</t>
  </si>
  <si>
    <t>Stanholtvirus</t>
  </si>
  <si>
    <t>Steinhofvirus</t>
  </si>
  <si>
    <t>Sugarlandvirus</t>
  </si>
  <si>
    <t>Klebsiella virus IME260</t>
  </si>
  <si>
    <t>2018.129B.A.v1.Sugarlandvirus.zip</t>
  </si>
  <si>
    <t>Klebsiella virus Sugarland</t>
  </si>
  <si>
    <t>Tequintavirus</t>
  </si>
  <si>
    <t>Timquatrovirus</t>
  </si>
  <si>
    <t>Mycobacterium virus Fionnbharth</t>
  </si>
  <si>
    <t>Tinduovirus</t>
  </si>
  <si>
    <t>Tortellinivirus</t>
  </si>
  <si>
    <t>Mycobacterium virus Tortellini</t>
  </si>
  <si>
    <t>2018.031B.A.v1.Tortellinivirus.zip</t>
  </si>
  <si>
    <t>Trinavirus</t>
  </si>
  <si>
    <t>Rhodococcus virus Trina</t>
  </si>
  <si>
    <t>2018.057B.A.v1.Trinavirus.zip</t>
  </si>
  <si>
    <t>Trippvirus</t>
  </si>
  <si>
    <t>Paenibacillus virus Tripp</t>
  </si>
  <si>
    <t>2018.102B.A.v1.Trippvirus.zip</t>
  </si>
  <si>
    <t>Unahavirus</t>
  </si>
  <si>
    <t>Flavobacterium virus 1H</t>
  </si>
  <si>
    <t>2018.131B.A.v1.Unahavirus.zip</t>
  </si>
  <si>
    <t>Flavobacterium virus 23T</t>
  </si>
  <si>
    <t>Flavobacterium virus 2A</t>
  </si>
  <si>
    <t>Flavobacterium virus 6H</t>
  </si>
  <si>
    <t>Vhulanivirus</t>
  </si>
  <si>
    <t>Paracoccus virus Shpa</t>
  </si>
  <si>
    <t>2018.124B.A.v1.Vhulanivirus.zip</t>
  </si>
  <si>
    <t>Vidquintavirus</t>
  </si>
  <si>
    <t>Pantoea virus Vid5</t>
  </si>
  <si>
    <t>2018.043B.A.v1.Vidquintavirus.zip</t>
  </si>
  <si>
    <t>Vieuvirus</t>
  </si>
  <si>
    <t>Acinetobacter virus B1251</t>
  </si>
  <si>
    <t>2018.111B.A.v1.Vieuvirus.zip</t>
  </si>
  <si>
    <t>Acinetobacter virus R3177</t>
  </si>
  <si>
    <t>Vividuovirus</t>
  </si>
  <si>
    <t>Gordonia virus Brandonk123</t>
  </si>
  <si>
    <t>2018.058B.A.v1.Vividuovirus.zip</t>
  </si>
  <si>
    <t>Gordonia virus Lennon</t>
  </si>
  <si>
    <t>Gordonia virus Vivi2</t>
  </si>
  <si>
    <t>Weaselvirus</t>
  </si>
  <si>
    <t>Rhodococcus virus Weasel</t>
  </si>
  <si>
    <t>2018.059B.A.v1.Weaselvirus.zip</t>
  </si>
  <si>
    <t>Wilnyevirus</t>
  </si>
  <si>
    <t>Gordonia virus Billnye</t>
  </si>
  <si>
    <t>2018.060B.A.v1.Wilnyevirus.zip</t>
  </si>
  <si>
    <t>Woodruffvirus</t>
  </si>
  <si>
    <t>Xiamenvirus</t>
  </si>
  <si>
    <t>Xipdecavirus</t>
  </si>
  <si>
    <t>Yvonnevirus</t>
  </si>
  <si>
    <t>Gordonia virus Yvonnetastic</t>
  </si>
  <si>
    <t>2018.018B.A.v1.Yvonnevirus.zip</t>
  </si>
  <si>
    <t>Spheniscid alphaherpesvirus 1</t>
  </si>
  <si>
    <t>2018.009D.A.v1.Herpesviridae_18sp.zip</t>
  </si>
  <si>
    <t>Testudinid alphaherpesvirus 3</t>
  </si>
  <si>
    <t>Pteropodid alphaherpesvirus 1</t>
  </si>
  <si>
    <t>Monodontid alphaherpesvirus 1</t>
  </si>
  <si>
    <t>Macacine betaherpesvirus 8</t>
  </si>
  <si>
    <t>Mandrilline betaherpesvirus 1</t>
  </si>
  <si>
    <t>Papiine betaherpesvirus 4</t>
  </si>
  <si>
    <t>Elephantid betaherpesvirus 4</t>
  </si>
  <si>
    <t>Elephantid betaherpesvirus 5</t>
  </si>
  <si>
    <t>Macacine betaherpesvirus 9</t>
  </si>
  <si>
    <t>Murid betaherpesvirus 3</t>
  </si>
  <si>
    <t>Macacine gammaherpesvirus 10</t>
  </si>
  <si>
    <t>Felid gammaherpesvirus 1</t>
  </si>
  <si>
    <t>Phocid gammaherpesvirus 3</t>
  </si>
  <si>
    <t>Vespertilionid gammaherpesvirus 1</t>
  </si>
  <si>
    <t>Macacine gammaherpesvirus 8</t>
  </si>
  <si>
    <t>Macacine gammaherpesvirus 11</t>
  </si>
  <si>
    <t>Macacine gammaherpesvirus 12</t>
  </si>
  <si>
    <t>Birch leaf roll-associated virus</t>
  </si>
  <si>
    <t>2018.023P.A.v1.Caulimoviridae_13sp.zip</t>
  </si>
  <si>
    <t>Blackberry virus F</t>
  </si>
  <si>
    <t>Cacao bacilliform Sri Lanka virus</t>
  </si>
  <si>
    <t>Cacao swollen shoot CE virus</t>
  </si>
  <si>
    <t>Cacao swollen shoot Ghana M virus</t>
  </si>
  <si>
    <t>Cacao swollen shoot Ghana N virus</t>
  </si>
  <si>
    <t>Cacao swollen shoot Ghana Q virus</t>
  </si>
  <si>
    <t>Cacao swollen shoot Togo B virus</t>
  </si>
  <si>
    <t>Canna yellow mottle associated virus</t>
  </si>
  <si>
    <t>Dioscorea bacilliform AL virus 2</t>
  </si>
  <si>
    <t>Dioscorea bacilliform ES virus</t>
  </si>
  <si>
    <t>Jujube mosaic-associated virus</t>
  </si>
  <si>
    <t>Angelica bushy stunt virus</t>
  </si>
  <si>
    <t>Rudbeckia flower distortion virus</t>
  </si>
  <si>
    <t>Central chimpanzee simian foamy virus</t>
  </si>
  <si>
    <t>2018.011D.A.v1.Spumaretrovirinae_sps.zip</t>
  </si>
  <si>
    <t>Cynomolgus macaque simian foamy virus</t>
  </si>
  <si>
    <t>Kusarnavirus</t>
  </si>
  <si>
    <t>Astarnavirus</t>
  </si>
  <si>
    <t>2018.002F.A.v2.Marnaviridae_4gen.zip</t>
  </si>
  <si>
    <t>Locarnavirus</t>
  </si>
  <si>
    <t>Jericarnavirus B</t>
  </si>
  <si>
    <t>Sanfarnavirus 1</t>
  </si>
  <si>
    <t>Sanfarnavirus 2</t>
  </si>
  <si>
    <t>Sanfarnavirus 3</t>
  </si>
  <si>
    <t>Salisharnavirus</t>
  </si>
  <si>
    <t>Britarnavirus 1</t>
  </si>
  <si>
    <t>Britarnavirus 4</t>
  </si>
  <si>
    <t>Palmarnavirus 128</t>
  </si>
  <si>
    <t>Palmarnavirus 473</t>
  </si>
  <si>
    <t>Sogarnavirus</t>
  </si>
  <si>
    <t>Britarnavirus 2</t>
  </si>
  <si>
    <t>Britarnavirus 3</t>
  </si>
  <si>
    <t>Chaetarnavirus 2</t>
  </si>
  <si>
    <t>Chaetenuissarnavirus II</t>
  </si>
  <si>
    <t>Jericarnavirus A</t>
  </si>
  <si>
    <t>Palmarnavirus 156</t>
  </si>
  <si>
    <t>Ailurivirus</t>
  </si>
  <si>
    <t>Ailurivirus A</t>
  </si>
  <si>
    <t>2018.001S.A.v1.Ailurivirus.zip</t>
  </si>
  <si>
    <t>Anativirus</t>
  </si>
  <si>
    <t>Anativirus A</t>
  </si>
  <si>
    <t>Cadicivirus B</t>
  </si>
  <si>
    <t>2018.003S.A.v1.Dicipivirus_sp.zip</t>
  </si>
  <si>
    <t>Livupivirus</t>
  </si>
  <si>
    <t>Livupivirus A</t>
  </si>
  <si>
    <t>2018.004S.A.v1.Livupivirus.zip</t>
  </si>
  <si>
    <t>Malagasivirus</t>
  </si>
  <si>
    <t>Malagasivirus A</t>
  </si>
  <si>
    <t>2018.005S.A.v1.Malagasivirus.zip</t>
  </si>
  <si>
    <t>Malagasivirus B</t>
  </si>
  <si>
    <t>Mischivirus D</t>
  </si>
  <si>
    <t>2018.006S.A.v1.Mischivirus_sp.zip</t>
  </si>
  <si>
    <t>Passerivirus B</t>
  </si>
  <si>
    <t>2018.007S.A.v1.Passerivirus_sp.zip</t>
  </si>
  <si>
    <t>Poecivirus</t>
  </si>
  <si>
    <t>Poecivirus A</t>
  </si>
  <si>
    <t>2018.008S.A.v1.Poecivirus.zip</t>
  </si>
  <si>
    <t>Rabovirus B</t>
  </si>
  <si>
    <t>2018.009S.A.v1.Rabovirus_3sp.zip</t>
  </si>
  <si>
    <t>Rabovirus C</t>
  </si>
  <si>
    <t>Rabovirus D</t>
  </si>
  <si>
    <t>Rafivirus</t>
  </si>
  <si>
    <t>Rafivirus A</t>
  </si>
  <si>
    <t>2018.010S.A.v1.Rafivirus.zip</t>
  </si>
  <si>
    <t>Rafivirus B</t>
  </si>
  <si>
    <t>Rosavirus B</t>
  </si>
  <si>
    <t>2018.011S.A.v1.Rosavirus_2sp.zip</t>
  </si>
  <si>
    <t>Rosavirus C</t>
  </si>
  <si>
    <t>Tottorivirus</t>
  </si>
  <si>
    <t>Tottorivirus A</t>
  </si>
  <si>
    <t>2018.012S.A.v1.Tottorivirus.zip</t>
  </si>
  <si>
    <t>Grapevine virus T</t>
  </si>
  <si>
    <t>2018.007P.A.v1.Foveavirus_sp.zip</t>
  </si>
  <si>
    <t>Currant virus A</t>
  </si>
  <si>
    <t>2018.006P.A.v1.Capillovirus_spb.zip</t>
  </si>
  <si>
    <t>Mume virus A</t>
  </si>
  <si>
    <t>2018.005P.A.v1.Capillovirus_spa.zip</t>
  </si>
  <si>
    <t>Actinidia seed borne latent virus</t>
  </si>
  <si>
    <t>2018.008P.A.v1.Prunevirus_sp.zip</t>
  </si>
  <si>
    <t>Blackberry virus A</t>
  </si>
  <si>
    <t>2018.010P.A.v1.Vitivirus_spa.zip</t>
  </si>
  <si>
    <t>Grapevine virus G</t>
  </si>
  <si>
    <t>2018.011P.A.v1.Vitivirus_spb.zip</t>
  </si>
  <si>
    <t>Grapevine virus H</t>
  </si>
  <si>
    <t>2018.012P.A.v1.Vitivirus_spc.zip</t>
  </si>
  <si>
    <t>Grapevine virus I</t>
  </si>
  <si>
    <t>2018.013P.A.v1.Vitivirus_spd.zip</t>
  </si>
  <si>
    <t>Grapevine virus J</t>
  </si>
  <si>
    <t>2018.014P.A.v1.Vitivirus_spe.zip</t>
  </si>
  <si>
    <t>Wamavirus</t>
  </si>
  <si>
    <t>Watermelon virus A</t>
  </si>
  <si>
    <t>2018.009P.A.v1.Wamavirus.zip</t>
  </si>
  <si>
    <t>Whitefly associated Guatemala alphasatellite 1</t>
  </si>
  <si>
    <t>2018.030P.A.v1.Alphasatellitidae_2spren.zip</t>
  </si>
  <si>
    <t>Sophora yellow stunt alphasatellite 1</t>
  </si>
  <si>
    <t>Allium cepa amalgavirus 1</t>
  </si>
  <si>
    <t>2018.032P.A.v1.Amalgaviridae_rev.zip</t>
  </si>
  <si>
    <t>Allium cepa amalgavirus 2</t>
  </si>
  <si>
    <t>Spinach amalgavirus 1</t>
  </si>
  <si>
    <t>Zoostera marina amalgavirus 1</t>
  </si>
  <si>
    <t>Zoostera marina amalgavirus 2</t>
  </si>
  <si>
    <t>Zybavirus</t>
  </si>
  <si>
    <t>Zygosaccharomyces bailii virus Z</t>
  </si>
  <si>
    <t>Torque teno seal virus 1</t>
  </si>
  <si>
    <t>2018.001D.A.v1.Anelloviridae_2gen.zip</t>
  </si>
  <si>
    <t>Torque teno seal virus 2</t>
  </si>
  <si>
    <t>Torque teno seal virus 3</t>
  </si>
  <si>
    <t>Torque teno seal virus 8</t>
  </si>
  <si>
    <t>Torque teno seal virus 9</t>
  </si>
  <si>
    <t>Mutorquevirus</t>
  </si>
  <si>
    <t>Torque teno equus virus 1</t>
  </si>
  <si>
    <t>Nutorquevirus</t>
  </si>
  <si>
    <t>Torque teno seal virus 4</t>
  </si>
  <si>
    <t>Torque teno seal virus 5</t>
  </si>
  <si>
    <t>Hemileuca species nucleopolyhedrovirus</t>
  </si>
  <si>
    <t>2018.002D.A.v1.Baculoviridae_8sp.zip</t>
  </si>
  <si>
    <t>Lonomia obliqua nucleopolyhedrovirus</t>
  </si>
  <si>
    <t>Mythimna unipuncta nucleopolyhedrovirus</t>
  </si>
  <si>
    <t>Operophtera brumata nucleopolyhedrovirus</t>
  </si>
  <si>
    <t>Oxyplax ochracea nucleopolyhedrovirus</t>
  </si>
  <si>
    <t>Peridroma saucia nucleopolyhedrovirus</t>
  </si>
  <si>
    <t>Perigonia lusca nucleopolyhedrovirus</t>
  </si>
  <si>
    <t>Mocis latipes granulovirus</t>
  </si>
  <si>
    <t>Botourmiaviridae</t>
  </si>
  <si>
    <t>Botoulivirus</t>
  </si>
  <si>
    <t>Botrytis botoulivirus</t>
  </si>
  <si>
    <t>2018.003F.A.Botourmiaviridae.zip</t>
  </si>
  <si>
    <t>Sclerotinia botoulivirus 2</t>
  </si>
  <si>
    <t>Magoulivirus</t>
  </si>
  <si>
    <t>Magnaporthe magoulivirus 1</t>
  </si>
  <si>
    <t>Rhizoctonia magoulivirus 1</t>
  </si>
  <si>
    <t>Scleroulivirus</t>
  </si>
  <si>
    <t>Sclerotinia scleroulivirus 1</t>
  </si>
  <si>
    <t>Soybean scleroulivirus 1</t>
  </si>
  <si>
    <t>Soybean scleroulivirus 2</t>
  </si>
  <si>
    <t>Bavovirus</t>
  </si>
  <si>
    <t>Bavaria virus</t>
  </si>
  <si>
    <t>2018.014S.A.v2.Caliciviridae_6gen.zip</t>
  </si>
  <si>
    <t>Minovirus</t>
  </si>
  <si>
    <t>Minovirus A</t>
  </si>
  <si>
    <t>Nacovirus</t>
  </si>
  <si>
    <t>Nacovirus A</t>
  </si>
  <si>
    <t>Recovirus</t>
  </si>
  <si>
    <t>Recovirus A</t>
  </si>
  <si>
    <t>Salovirus</t>
  </si>
  <si>
    <t>Nordland virus</t>
  </si>
  <si>
    <t>Valovirus</t>
  </si>
  <si>
    <t>Saint Valerien virus</t>
  </si>
  <si>
    <t>Alphachrysovirus</t>
  </si>
  <si>
    <t>Anthurium mosaic-associated chrysovirus</t>
  </si>
  <si>
    <t>2018.004F.A.v3.Betachrysovirus.zip</t>
  </si>
  <si>
    <t>Brassica campestris chrysovirus</t>
  </si>
  <si>
    <t>Colletotrichum gloeosporioides chrysovirus</t>
  </si>
  <si>
    <t>Helminthosporium victoriae virus 145S</t>
  </si>
  <si>
    <t>Isaria javanica chrysovirus</t>
  </si>
  <si>
    <t>Macrophomina phaseolina chrysovirus</t>
  </si>
  <si>
    <t>Persea americana chrysovirus</t>
  </si>
  <si>
    <t>Raphanus sativus chrysovirus</t>
  </si>
  <si>
    <t>Shuangao insect-associated chrysovirus</t>
  </si>
  <si>
    <t>Betachrysovirus</t>
  </si>
  <si>
    <t>Alternaria alternata chrysovirus</t>
  </si>
  <si>
    <t>Botryosphaeria dothidea chrysovirus</t>
  </si>
  <si>
    <t>Colletotrichum fructicola chrysovirus 1</t>
  </si>
  <si>
    <t>Fusarium graminearum chrysovirus</t>
  </si>
  <si>
    <t>Fusarium oxysporum chrysovirus 2</t>
  </si>
  <si>
    <t>Magnaporthe oryzae chrysovirus</t>
  </si>
  <si>
    <t>Penicillium janczewskii chrysovirus 1</t>
  </si>
  <si>
    <t>Penicillium janczewskii chrysovirus 2</t>
  </si>
  <si>
    <t>Bat associated circovirus 10</t>
  </si>
  <si>
    <t>2018.003D.A.v1.Circoviridae_12sp.zip</t>
  </si>
  <si>
    <t>Bat associated circovirus 11</t>
  </si>
  <si>
    <t>Rodent associated circovirus 1</t>
  </si>
  <si>
    <t>Rodent associated circovirus 2</t>
  </si>
  <si>
    <t>Rodent associated circovirus 3</t>
  </si>
  <si>
    <t>Rodent associated circovirus 4</t>
  </si>
  <si>
    <t>Rodent associated circovirus 5</t>
  </si>
  <si>
    <t>Rodent associated circovirus 6</t>
  </si>
  <si>
    <t>Tick associated circovirus 1</t>
  </si>
  <si>
    <t>Tick associated circovirus 2</t>
  </si>
  <si>
    <t>Duck associated cyclovirus 1</t>
  </si>
  <si>
    <t>2018.005D.A.v1.Cyclovirus_sp.zip</t>
  </si>
  <si>
    <t>Rodent associated cyclovirus 1</t>
  </si>
  <si>
    <t>Rodent associated cyclovirus 2</t>
  </si>
  <si>
    <t>Air potato ampelovirus 1</t>
  </si>
  <si>
    <t>2018.024P.A.v1.Closteroviridae_2sp.zip</t>
  </si>
  <si>
    <t>Actinidia virus 1</t>
  </si>
  <si>
    <t>Pseudoalteromonas virus Cr39582</t>
  </si>
  <si>
    <t>2018.123B.A.v1.Corticovirus_sp.zip</t>
  </si>
  <si>
    <t>Exomis microphylla latent virus</t>
  </si>
  <si>
    <t>2018.028P.A.v1.Geminiviridae_6sp.zip</t>
  </si>
  <si>
    <t>African cassava mosaic Burkina Faso virus</t>
  </si>
  <si>
    <t>2018.029P.A.v1.Begomovirus_28sp_5sprem.zip</t>
  </si>
  <si>
    <t>Bean leaf crumple virus</t>
  </si>
  <si>
    <t>Bhendi yellow vein mosaic Delhi virus</t>
  </si>
  <si>
    <t>Blechum yellow vein virus</t>
  </si>
  <si>
    <t>Chilli leaf curl Ahmedabad virus</t>
  </si>
  <si>
    <t>Chilli leaf curl Bhavanisagar virus</t>
  </si>
  <si>
    <t>Chilli leaf curl Gonda virus</t>
  </si>
  <si>
    <t>Chilli leaf curl Sri Lanka virus</t>
  </si>
  <si>
    <t>Datura leaf curl virus</t>
  </si>
  <si>
    <t>Eclipta yellow vein virus</t>
  </si>
  <si>
    <t>Emilia yellow vein Thailand virus</t>
  </si>
  <si>
    <t>Jacquemontia yellow vein virus</t>
  </si>
  <si>
    <t>Pepper leafroll virus</t>
  </si>
  <si>
    <t>Pepper yellow leaf curl Indonesia virus 2</t>
  </si>
  <si>
    <t>Pouzolzia yellow mosaic virus</t>
  </si>
  <si>
    <t>Sweet potato leaf curl Shandong virus</t>
  </si>
  <si>
    <t>Tomato leaf curl Japan virus</t>
  </si>
  <si>
    <t>Tomato leaf curl Karnataka virus 2</t>
  </si>
  <si>
    <t>Tomato leaf curl Karnataka virus 3</t>
  </si>
  <si>
    <t>Tomato leaf curl New Delhi virus 5</t>
  </si>
  <si>
    <t>Tomato leaf curl purple vein virus</t>
  </si>
  <si>
    <t>Tomato leaf curl Tanzania virus</t>
  </si>
  <si>
    <t>Tomato severe leaf curl Kalakada virus</t>
  </si>
  <si>
    <t>Tomato wrinkled mosaic virus</t>
  </si>
  <si>
    <t>Vernonia yellow vein Fujian virus</t>
  </si>
  <si>
    <t>West African Asystasia virus 3</t>
  </si>
  <si>
    <t>Prunus latent virus</t>
  </si>
  <si>
    <t>Wild Vitis latent virus</t>
  </si>
  <si>
    <t>Maize striate mosaic virus</t>
  </si>
  <si>
    <t>Rice latent virus 1</t>
  </si>
  <si>
    <t>Rice latent virus 2</t>
  </si>
  <si>
    <t>Capuchin monkey hepatitis B virus</t>
  </si>
  <si>
    <t>2018.006D.A.v1.Orthohepadnavirus_sp.zip</t>
  </si>
  <si>
    <t>Thermus virus OH3</t>
  </si>
  <si>
    <t>2018.094B.A.v1.Inoviridae_2sp.zip</t>
  </si>
  <si>
    <t>Xanthomonas virus Xf109</t>
  </si>
  <si>
    <t>Lymphocystis disease virus 2</t>
  </si>
  <si>
    <t>2018.007D.A.v1.Iridoviridae_8sp3sprem.zip</t>
  </si>
  <si>
    <t>Lymphocystis disease virus 3</t>
  </si>
  <si>
    <t>Scale drop disease virus</t>
  </si>
  <si>
    <t>Anopheles minimus iridovirus</t>
  </si>
  <si>
    <t>Invertebrate iridescent virus 9</t>
  </si>
  <si>
    <t>Invertebrate iridescent virus 22</t>
  </si>
  <si>
    <t>Invertebrate iridescent virus 25</t>
  </si>
  <si>
    <t>Decapodiridovirus</t>
  </si>
  <si>
    <t>Decapod iridescent virus 1</t>
  </si>
  <si>
    <t>2018.004D.A.v1.Decapodiridovirus_1gen1sp.zip</t>
  </si>
  <si>
    <t>Invertebrate iridescent virus 31</t>
  </si>
  <si>
    <t>Kitaviridae</t>
  </si>
  <si>
    <t>Citrus vein enation virus</t>
  </si>
  <si>
    <t>2018.016P.A.v1.Enamovirus_spb.zip</t>
  </si>
  <si>
    <t>Grapevine enamovirus 1</t>
  </si>
  <si>
    <t>2018.015P.A.v1.Enamovirus_spa.zip</t>
  </si>
  <si>
    <t>Cherry associated luteovirus</t>
  </si>
  <si>
    <t>2018.018P.A.v1.Luteovirus_spb.zip</t>
  </si>
  <si>
    <t>Nectarine stem pitting associated virus</t>
  </si>
  <si>
    <t>2018.017P.A.v1.Luteovirus_spa.zip</t>
  </si>
  <si>
    <t>Pepper vein yellows virus 1</t>
  </si>
  <si>
    <t>2018.019P.A.v1.Polerovirus_5sp1ren.zip</t>
  </si>
  <si>
    <t>Pepper vein yellows virus 2</t>
  </si>
  <si>
    <t>Pepper vein yellows virus 3</t>
  </si>
  <si>
    <t>Pepper vein yellows virus 4</t>
  </si>
  <si>
    <t>Pepper vein yellows virus 5</t>
  </si>
  <si>
    <t>Pepper vein yellows virus 6</t>
  </si>
  <si>
    <t>Matonaviridae</t>
  </si>
  <si>
    <t>Alphatrevirus</t>
  </si>
  <si>
    <t>Gequatrovirus</t>
  </si>
  <si>
    <t>Sinsheimervirus</t>
  </si>
  <si>
    <t>Ovaliviridae</t>
  </si>
  <si>
    <t>Alphaovalivirus</t>
  </si>
  <si>
    <t>Sulfolobus ellipsoid virus 1</t>
  </si>
  <si>
    <t>2018.104B.A.v1.Ovaliviridae.zip</t>
  </si>
  <si>
    <t>Squamate dependoparvovirus 2</t>
  </si>
  <si>
    <t>2018.010D.A.v1.Dependoparvovirus_sp.zip</t>
  </si>
  <si>
    <t>Miniopterus schreibersii polyomavirus 1</t>
  </si>
  <si>
    <t>2018.008D.A.v1.Polyomaviridae_10sp.zip</t>
  </si>
  <si>
    <t>Miniopterus schreibersii polyomavirus 2</t>
  </si>
  <si>
    <t>Sorex araneus polyomavirus 1</t>
  </si>
  <si>
    <t>Sorex coronatus polyomavirus 1</t>
  </si>
  <si>
    <t>Sorex minutus polyomavirus 1</t>
  </si>
  <si>
    <t>Canis familiaris polyomavirus 1</t>
  </si>
  <si>
    <t>Rousettus aegyptiacus polyomavirus 1</t>
  </si>
  <si>
    <t>Ailuropoda melanoleuca polyomavirus 1</t>
  </si>
  <si>
    <t>Procyon lotor polyomavirus 2</t>
  </si>
  <si>
    <t>Sparus aurata polyomavirus 1</t>
  </si>
  <si>
    <t>Trematomus bernacchii polyomavirus 1</t>
  </si>
  <si>
    <t>African eggplant mosaic virus</t>
  </si>
  <si>
    <t>2018.026P.A.v1.Potyvirus_7sp.zip</t>
  </si>
  <si>
    <t>Cucurbit vein banding virus</t>
  </si>
  <si>
    <t>Mediterranean ruda virus</t>
  </si>
  <si>
    <t>Paris mosaic necrosis virus</t>
  </si>
  <si>
    <t>Saffron latent virus</t>
  </si>
  <si>
    <t>Sudan watermelon mosaic virus</t>
  </si>
  <si>
    <t>Wild melon banding virus</t>
  </si>
  <si>
    <t>Common reed chlorotic stripe virus</t>
  </si>
  <si>
    <t>2018.027P.A.v1.Potyviridae_2sp.zip</t>
  </si>
  <si>
    <t>Longan witches broom-associated virus</t>
  </si>
  <si>
    <t>Gammatectivirus</t>
  </si>
  <si>
    <t>Gluconobacter virus GC1</t>
  </si>
  <si>
    <t>2018.093B.A.v1.Gammatectivirus.zip</t>
  </si>
  <si>
    <t>Calvusvirinae</t>
  </si>
  <si>
    <t>Procedovirinae</t>
  </si>
  <si>
    <t>Potato necrosis virus</t>
  </si>
  <si>
    <t>2018.022P.A.v1.Alphanecrovirus_sp.zip</t>
  </si>
  <si>
    <t>Clematis chlorotic mottle virus</t>
  </si>
  <si>
    <t>2018.003P.A.v1.Pelarspovirus_sp.zip</t>
  </si>
  <si>
    <t>Cucumber Bulgarian latent virus</t>
  </si>
  <si>
    <t>Regressovirinae</t>
  </si>
  <si>
    <t>Privet idaeovirus</t>
  </si>
  <si>
    <t>2018.021P.A.v1.Idaeovirus_sp.zip</t>
  </si>
  <si>
    <t>Riboviria</t>
  </si>
  <si>
    <t>ICTV 2018b Master Species List (MSL34b)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</si>
</sst>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mmmm\ d\,\ yyyy;@"/>
  </numFmts>
  <fonts count="21" x14ac:knownFonts="1">
    <font>
      <sz val="10"/>
      <name val="Arial"/>
    </font>
    <font>
      <sz val="8"/>
      <name val="Arial"/>
      <family val="2"/>
    </font>
    <font>
      <i/>
      <sz val="10"/>
      <color indexed="8"/>
      <name val="Verdana"/>
      <family val="2"/>
    </font>
    <font>
      <sz val="8"/>
      <name val="Verdana"/>
      <family val="2"/>
    </font>
    <font>
      <sz val="14"/>
      <name val="Arial"/>
      <family val="2"/>
    </font>
    <font>
      <b/>
      <sz val="12"/>
      <name val="Arial"/>
      <family val="2"/>
    </font>
    <font>
      <sz val="12"/>
      <name val="Arial"/>
      <family val="2"/>
    </font>
    <font>
      <sz val="10"/>
      <color indexed="8"/>
      <name val="Verdana"/>
      <family val="2"/>
    </font>
    <font>
      <b/>
      <i/>
      <sz val="10"/>
      <color indexed="8"/>
      <name val="Verdana"/>
      <family val="2"/>
    </font>
    <font>
      <b/>
      <sz val="10"/>
      <color indexed="8"/>
      <name val="Verdana"/>
      <family val="2"/>
    </font>
    <font>
      <b/>
      <sz val="14"/>
      <color theme="1"/>
      <name val="Arial"/>
      <family val="2"/>
    </font>
    <font>
      <sz val="10"/>
      <color theme="1"/>
      <name val="Arial"/>
      <family val="2"/>
    </font>
    <font>
      <sz val="10"/>
      <color rgb="FF000000"/>
      <name val="Verdana"/>
      <family val="2"/>
    </font>
    <font>
      <sz val="12"/>
      <color theme="1"/>
      <name val="Calibri"/>
      <family val="2"/>
      <scheme val="minor"/>
    </font>
    <font>
      <sz val="14"/>
      <color theme="1"/>
      <name val="Arial"/>
      <family val="2"/>
    </font>
    <font>
      <b/>
      <sz val="12"/>
      <color theme="1"/>
      <name val="Arial"/>
      <family val="2"/>
    </font>
    <font>
      <sz val="12"/>
      <color theme="1"/>
      <name val="Arial"/>
      <family val="2"/>
    </font>
    <font>
      <i/>
      <sz val="12"/>
      <color indexed="8"/>
      <name val="Arial"/>
      <family val="2"/>
    </font>
    <font>
      <sz val="12"/>
      <color indexed="8"/>
      <name val="Arial"/>
      <family val="2"/>
    </font>
    <font>
      <u/>
      <sz val="10"/>
      <color theme="10"/>
      <name val="Arial"/>
      <family val="2"/>
    </font>
    <font>
      <sz val="11"/>
      <color rgb="FF006100"/>
      <name val="Calibri"/>
      <family val="2"/>
      <scheme val="minor"/>
    </font>
  </fonts>
  <fills count="6">
    <fill>
      <patternFill patternType="none"/>
    </fill>
    <fill>
      <patternFill patternType="gray125"/>
    </fill>
    <fill>
      <patternFill patternType="solid">
        <fgColor indexed="2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C6EFCE"/>
      </patternFill>
    </fill>
  </fills>
  <borders count="13">
    <border>
      <left/>
      <right/>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s>
  <cellStyleXfs count="4">
    <xf numFmtId="0" fontId="0" fillId="0" borderId="0"/>
    <xf numFmtId="0" fontId="13" fillId="0" borderId="0"/>
    <xf numFmtId="0" fontId="19" fillId="0" borderId="0" applyNumberFormat="0" applyFill="0" applyBorder="0" applyAlignment="0" applyProtection="0"/>
    <xf numFmtId="0" fontId="20" fillId="5" borderId="0" applyNumberFormat="0" applyBorder="0" applyAlignment="0" applyProtection="0"/>
  </cellStyleXfs>
  <cellXfs count="51">
    <xf numFmtId="0" fontId="0" fillId="0" borderId="0" xfId="0"/>
    <xf numFmtId="0" fontId="2" fillId="0" borderId="0" xfId="0" applyFont="1" applyFill="1"/>
    <xf numFmtId="0" fontId="2" fillId="0" borderId="0" xfId="0" applyFont="1" applyFill="1" applyBorder="1"/>
    <xf numFmtId="0" fontId="7" fillId="0" borderId="0" xfId="0" applyFont="1" applyFill="1"/>
    <xf numFmtId="0" fontId="2" fillId="0" borderId="0" xfId="0" applyFont="1" applyFill="1" applyAlignment="1"/>
    <xf numFmtId="0" fontId="0" fillId="0" borderId="0" xfId="0" applyBorder="1"/>
    <xf numFmtId="0" fontId="0" fillId="0" borderId="0" xfId="0" applyBorder="1" applyAlignment="1">
      <alignment horizontal="left"/>
    </xf>
    <xf numFmtId="0" fontId="4" fillId="0" borderId="0" xfId="0" applyFont="1" applyBorder="1"/>
    <xf numFmtId="0" fontId="4" fillId="0" borderId="0" xfId="0" applyFont="1" applyFill="1" applyBorder="1"/>
    <xf numFmtId="0" fontId="5" fillId="0" borderId="0" xfId="0" applyFont="1" applyFill="1" applyBorder="1" applyAlignment="1">
      <alignment horizontal="right"/>
    </xf>
    <xf numFmtId="0" fontId="6" fillId="0" borderId="0" xfId="0" applyFont="1" applyFill="1" applyBorder="1"/>
    <xf numFmtId="15" fontId="6" fillId="0" borderId="0" xfId="0" applyNumberFormat="1" applyFont="1" applyFill="1" applyBorder="1"/>
    <xf numFmtId="0" fontId="0" fillId="0" borderId="0" xfId="0" applyFill="1" applyBorder="1"/>
    <xf numFmtId="15" fontId="6" fillId="0" borderId="0" xfId="0" applyNumberFormat="1" applyFont="1" applyFill="1" applyBorder="1" applyAlignment="1">
      <alignment horizontal="right"/>
    </xf>
    <xf numFmtId="0" fontId="5" fillId="0" borderId="1" xfId="0" applyFont="1" applyFill="1" applyBorder="1" applyAlignment="1">
      <alignment horizontal="right"/>
    </xf>
    <xf numFmtId="0" fontId="5" fillId="0" borderId="2" xfId="0" applyFont="1" applyFill="1" applyBorder="1" applyAlignment="1">
      <alignment horizontal="right"/>
    </xf>
    <xf numFmtId="15" fontId="6" fillId="0" borderId="3" xfId="0" applyNumberFormat="1" applyFont="1" applyFill="1" applyBorder="1" applyAlignment="1">
      <alignment horizontal="right"/>
    </xf>
    <xf numFmtId="0" fontId="5" fillId="3" borderId="4" xfId="0" applyFont="1" applyFill="1" applyBorder="1" applyAlignment="1">
      <alignment horizontal="right"/>
    </xf>
    <xf numFmtId="0" fontId="6" fillId="3" borderId="5" xfId="0" applyFont="1" applyFill="1" applyBorder="1"/>
    <xf numFmtId="0" fontId="10" fillId="4" borderId="6" xfId="0" applyFont="1" applyFill="1" applyBorder="1" applyAlignment="1">
      <alignment horizontal="left" vertical="center"/>
    </xf>
    <xf numFmtId="0" fontId="11" fillId="4" borderId="7" xfId="0" applyFont="1" applyFill="1" applyBorder="1" applyAlignment="1">
      <alignment horizontal="left" vertical="center"/>
    </xf>
    <xf numFmtId="0" fontId="0" fillId="0" borderId="0" xfId="0" applyBorder="1" applyAlignment="1">
      <alignment horizontal="left" vertical="center"/>
    </xf>
    <xf numFmtId="49" fontId="5" fillId="0" borderId="9" xfId="0" applyNumberFormat="1" applyFont="1" applyFill="1" applyBorder="1" applyAlignment="1">
      <alignment horizontal="left" vertical="center"/>
    </xf>
    <xf numFmtId="49" fontId="7" fillId="0" borderId="0" xfId="0" applyNumberFormat="1" applyFont="1" applyFill="1"/>
    <xf numFmtId="49" fontId="7" fillId="0" borderId="0" xfId="0" applyNumberFormat="1" applyFont="1" applyFill="1" applyAlignment="1"/>
    <xf numFmtId="0" fontId="8" fillId="0" borderId="0" xfId="0" applyFont="1" applyFill="1"/>
    <xf numFmtId="0" fontId="12" fillId="0" borderId="0" xfId="0" applyFont="1" applyFill="1"/>
    <xf numFmtId="49" fontId="8" fillId="2" borderId="12" xfId="0" applyNumberFormat="1" applyFont="1" applyFill="1" applyBorder="1" applyAlignment="1">
      <alignment wrapText="1"/>
    </xf>
    <xf numFmtId="0" fontId="8" fillId="2" borderId="12" xfId="0" applyFont="1" applyFill="1" applyBorder="1" applyAlignment="1">
      <alignment wrapText="1"/>
    </xf>
    <xf numFmtId="0" fontId="9" fillId="2" borderId="12" xfId="0" applyFont="1" applyFill="1" applyBorder="1" applyAlignment="1">
      <alignment wrapText="1"/>
    </xf>
    <xf numFmtId="0" fontId="2" fillId="0" borderId="0" xfId="0" applyFont="1" applyFill="1" applyAlignment="1">
      <alignment wrapText="1"/>
    </xf>
    <xf numFmtId="0" fontId="6" fillId="0" borderId="0" xfId="0" applyFont="1" applyFill="1" applyBorder="1" applyAlignment="1">
      <alignment horizontal="left" vertical="center"/>
    </xf>
    <xf numFmtId="0" fontId="6" fillId="3" borderId="9" xfId="0" applyFont="1" applyFill="1" applyBorder="1" applyAlignment="1">
      <alignment horizontal="left" vertical="center"/>
    </xf>
    <xf numFmtId="0" fontId="6" fillId="0" borderId="11" xfId="0" applyFont="1" applyFill="1" applyBorder="1" applyAlignment="1">
      <alignment horizontal="left" vertical="center"/>
    </xf>
    <xf numFmtId="0" fontId="6" fillId="0" borderId="0" xfId="0" applyFont="1" applyBorder="1"/>
    <xf numFmtId="0" fontId="6" fillId="0" borderId="0" xfId="0" applyFont="1" applyBorder="1" applyAlignment="1">
      <alignment horizontal="left" vertical="center"/>
    </xf>
    <xf numFmtId="49" fontId="10" fillId="0" borderId="4" xfId="1" applyNumberFormat="1" applyFont="1" applyBorder="1" applyAlignment="1">
      <alignment wrapText="1"/>
    </xf>
    <xf numFmtId="49" fontId="10" fillId="0" borderId="5" xfId="1" applyNumberFormat="1" applyFont="1" applyBorder="1" applyAlignment="1">
      <alignment wrapText="1"/>
    </xf>
    <xf numFmtId="49" fontId="14" fillId="0" borderId="0" xfId="1" applyNumberFormat="1" applyFont="1" applyAlignment="1">
      <alignment wrapText="1"/>
    </xf>
    <xf numFmtId="49" fontId="15" fillId="0" borderId="1" xfId="1" applyNumberFormat="1" applyFont="1" applyBorder="1" applyAlignment="1">
      <alignment horizontal="right" vertical="center" wrapText="1"/>
    </xf>
    <xf numFmtId="49" fontId="16" fillId="0" borderId="8" xfId="1" applyNumberFormat="1" applyFont="1" applyBorder="1" applyAlignment="1">
      <alignment wrapText="1"/>
    </xf>
    <xf numFmtId="49" fontId="16" fillId="0" borderId="0" xfId="1" applyNumberFormat="1" applyFont="1" applyAlignment="1">
      <alignment wrapText="1"/>
    </xf>
    <xf numFmtId="49" fontId="15" fillId="0" borderId="2" xfId="1" applyNumberFormat="1" applyFont="1" applyBorder="1" applyAlignment="1">
      <alignment horizontal="right" vertical="center" wrapText="1"/>
    </xf>
    <xf numFmtId="49" fontId="16" fillId="0" borderId="3" xfId="1" applyNumberFormat="1" applyFont="1" applyBorder="1" applyAlignment="1">
      <alignment wrapText="1"/>
    </xf>
    <xf numFmtId="164" fontId="6" fillId="0" borderId="8" xfId="0" applyNumberFormat="1" applyFont="1" applyFill="1" applyBorder="1" applyAlignment="1">
      <alignment horizontal="right"/>
    </xf>
    <xf numFmtId="0" fontId="19" fillId="0" borderId="0" xfId="2" applyFill="1"/>
    <xf numFmtId="0" fontId="19" fillId="0" borderId="10" xfId="2" applyFill="1" applyBorder="1" applyAlignment="1">
      <alignment horizontal="left" vertical="center"/>
    </xf>
    <xf numFmtId="0" fontId="9" fillId="2" borderId="12" xfId="0" applyFont="1" applyFill="1" applyBorder="1" applyAlignment="1"/>
    <xf numFmtId="11" fontId="2" fillId="0" borderId="0" xfId="0" applyNumberFormat="1" applyFont="1" applyFill="1"/>
    <xf numFmtId="16" fontId="2" fillId="0" borderId="0" xfId="0" applyNumberFormat="1" applyFont="1" applyFill="1"/>
    <xf numFmtId="0" fontId="20" fillId="5" borderId="0" xfId="3" applyAlignment="1"/>
  </cellXfs>
  <cellStyles count="4">
    <cellStyle name="Good" xfId="3" builtinId="26"/>
    <cellStyle name="Hyperlink" xfId="2" builtinId="8"/>
    <cellStyle name="Normal" xfId="0" builtinId="0"/>
    <cellStyle name="Normal 2" xfId="1" xr:uid="{00000000-0005-0000-0000-000003000000}"/>
  </cellStyles>
  <dxfs count="6">
    <dxf>
      <font>
        <color rgb="FF006100"/>
      </font>
      <fill>
        <patternFill>
          <bgColor rgb="FFC6EFCE"/>
        </patternFill>
      </fill>
    </dxf>
    <dxf>
      <font>
        <color rgb="FF9C0006"/>
      </font>
      <fill>
        <patternFill>
          <bgColor rgb="FFFFC7CE"/>
        </patternFill>
      </fill>
    </dxf>
    <dxf>
      <font>
        <b val="0"/>
        <i val="0"/>
      </font>
    </dxf>
    <dxf>
      <font>
        <condense val="0"/>
        <extend val="0"/>
        <color indexed="9"/>
      </font>
      <fill>
        <patternFill>
          <bgColor indexed="23"/>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5"/>
      <tableStyleElement type="headerRow" dxfId="4"/>
    </tableStyle>
  </tableStyles>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4"/>
  <sheetViews>
    <sheetView showGridLines="0" tabSelected="1" zoomScale="125" workbookViewId="0">
      <selection activeCell="C4" sqref="C4"/>
    </sheetView>
  </sheetViews>
  <sheetFormatPr baseColWidth="10" defaultColWidth="11.5" defaultRowHeight="13" x14ac:dyDescent="0.15"/>
  <cols>
    <col min="1" max="1" width="3.33203125" style="5" customWidth="1"/>
    <col min="2" max="2" width="11.83203125" style="5" customWidth="1"/>
    <col min="3" max="3" width="23.5" style="5" customWidth="1"/>
    <col min="4" max="4" width="4.6640625" style="5" customWidth="1"/>
    <col min="5" max="5" width="105" style="21" bestFit="1" customWidth="1"/>
    <col min="6" max="6" width="54.6640625" style="5" customWidth="1"/>
    <col min="7" max="7" width="10.83203125" style="5" customWidth="1"/>
    <col min="8" max="16384" width="11.5" style="5"/>
  </cols>
  <sheetData>
    <row r="1" spans="1:6" ht="14" thickBot="1" x14ac:dyDescent="0.2"/>
    <row r="2" spans="1:6" s="7" customFormat="1" ht="19" thickBot="1" x14ac:dyDescent="0.25">
      <c r="B2" s="19" t="s">
        <v>7160</v>
      </c>
      <c r="C2" s="20"/>
      <c r="D2" s="20"/>
      <c r="E2" s="20"/>
      <c r="F2" s="6"/>
    </row>
    <row r="3" spans="1:6" ht="17" thickBot="1" x14ac:dyDescent="0.25">
      <c r="A3" s="12"/>
      <c r="B3" s="10"/>
      <c r="C3" s="10"/>
      <c r="D3" s="10"/>
      <c r="E3" s="31"/>
    </row>
    <row r="4" spans="1:6" ht="18" x14ac:dyDescent="0.2">
      <c r="A4" s="8"/>
      <c r="B4" s="17" t="s">
        <v>418</v>
      </c>
      <c r="C4" s="18">
        <v>1</v>
      </c>
      <c r="D4" s="10"/>
      <c r="E4" s="32" t="str">
        <f>CONCATENATE("Version ",C4)</f>
        <v>Version 1</v>
      </c>
    </row>
    <row r="5" spans="1:6" ht="15" customHeight="1" x14ac:dyDescent="0.2">
      <c r="A5" s="10"/>
      <c r="B5" s="14" t="s">
        <v>1300</v>
      </c>
      <c r="C5" s="44">
        <v>43390</v>
      </c>
      <c r="D5" s="11"/>
      <c r="E5" s="22" t="s">
        <v>5611</v>
      </c>
    </row>
    <row r="6" spans="1:6" ht="17" thickBot="1" x14ac:dyDescent="0.25">
      <c r="A6" s="10"/>
      <c r="B6" s="15" t="s">
        <v>1301</v>
      </c>
      <c r="C6" s="16" t="s">
        <v>1298</v>
      </c>
      <c r="D6" s="13"/>
      <c r="E6" s="33" t="s">
        <v>5612</v>
      </c>
    </row>
    <row r="7" spans="1:6" ht="16" x14ac:dyDescent="0.2">
      <c r="A7" s="10"/>
      <c r="B7" s="9"/>
      <c r="C7" s="11"/>
      <c r="D7" s="11"/>
      <c r="E7" s="33" t="s">
        <v>5613</v>
      </c>
    </row>
    <row r="8" spans="1:6" ht="16" x14ac:dyDescent="0.2">
      <c r="A8" s="10"/>
      <c r="B8" s="10"/>
      <c r="C8" s="10"/>
      <c r="D8" s="10"/>
      <c r="E8" s="46" t="str">
        <f>HYPERLINK(" http://www.ictvonline.org/","For more information see: http://www.ictvonline.org/")</f>
        <v>For more information see: http://www.ictvonline.org/</v>
      </c>
    </row>
    <row r="9" spans="1:6" ht="16" x14ac:dyDescent="0.2">
      <c r="A9" s="12"/>
      <c r="B9" s="10"/>
      <c r="C9" s="10"/>
      <c r="D9" s="10"/>
      <c r="E9" s="31"/>
    </row>
    <row r="10" spans="1:6" ht="16" x14ac:dyDescent="0.2">
      <c r="A10" s="12"/>
      <c r="B10" s="10"/>
      <c r="C10" s="10"/>
      <c r="D10" s="10"/>
      <c r="E10" s="31"/>
    </row>
    <row r="11" spans="1:6" ht="16" x14ac:dyDescent="0.2">
      <c r="B11" s="34"/>
      <c r="C11" s="34"/>
      <c r="D11" s="34"/>
      <c r="E11" s="35"/>
    </row>
    <row r="12" spans="1:6" ht="16" x14ac:dyDescent="0.2">
      <c r="B12" s="34"/>
      <c r="C12" s="34"/>
      <c r="D12" s="34"/>
      <c r="E12" s="35"/>
    </row>
    <row r="13" spans="1:6" ht="16" x14ac:dyDescent="0.2">
      <c r="B13" s="34"/>
      <c r="C13" s="34"/>
      <c r="D13" s="34"/>
      <c r="E13" s="35"/>
    </row>
    <row r="14" spans="1:6" ht="16" x14ac:dyDescent="0.2">
      <c r="B14" s="34"/>
      <c r="C14" s="34"/>
      <c r="D14" s="34"/>
      <c r="E14" s="35"/>
    </row>
    <row r="15" spans="1:6" ht="16" x14ac:dyDescent="0.2">
      <c r="B15" s="34"/>
      <c r="C15" s="34"/>
      <c r="D15" s="34"/>
      <c r="E15" s="35"/>
    </row>
    <row r="16" spans="1:6" ht="16" x14ac:dyDescent="0.2">
      <c r="B16" s="34"/>
      <c r="C16" s="34"/>
      <c r="D16" s="34"/>
      <c r="E16" s="35"/>
    </row>
    <row r="17" spans="2:5" ht="16" x14ac:dyDescent="0.2">
      <c r="B17" s="34"/>
      <c r="C17" s="34"/>
      <c r="D17" s="34"/>
      <c r="E17" s="35"/>
    </row>
    <row r="18" spans="2:5" ht="16" x14ac:dyDescent="0.2">
      <c r="B18" s="34"/>
      <c r="C18" s="34"/>
      <c r="D18" s="34"/>
      <c r="E18" s="35"/>
    </row>
    <row r="19" spans="2:5" ht="16" x14ac:dyDescent="0.2">
      <c r="B19" s="34"/>
      <c r="C19" s="34"/>
      <c r="D19" s="34"/>
      <c r="E19" s="35"/>
    </row>
    <row r="20" spans="2:5" ht="16" x14ac:dyDescent="0.2">
      <c r="B20" s="34"/>
      <c r="C20" s="34"/>
      <c r="D20" s="34"/>
      <c r="E20" s="35"/>
    </row>
    <row r="21" spans="2:5" ht="16" x14ac:dyDescent="0.2">
      <c r="B21" s="34"/>
      <c r="C21" s="34"/>
      <c r="D21" s="34"/>
      <c r="E21" s="35"/>
    </row>
    <row r="22" spans="2:5" ht="16" x14ac:dyDescent="0.2">
      <c r="B22" s="34"/>
      <c r="C22" s="34"/>
      <c r="D22" s="34"/>
      <c r="E22" s="35"/>
    </row>
    <row r="23" spans="2:5" ht="16" x14ac:dyDescent="0.2">
      <c r="B23" s="34"/>
      <c r="C23" s="34"/>
      <c r="D23" s="34"/>
      <c r="E23" s="35"/>
    </row>
    <row r="24" spans="2:5" ht="16" x14ac:dyDescent="0.2">
      <c r="B24" s="34"/>
      <c r="C24" s="34"/>
      <c r="D24" s="34"/>
      <c r="E24" s="35"/>
    </row>
  </sheetData>
  <phoneticPr fontId="3" type="noConversion"/>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4"/>
  <sheetViews>
    <sheetView showGridLines="0" workbookViewId="0">
      <selection activeCell="A2" sqref="A2:XFD2"/>
    </sheetView>
  </sheetViews>
  <sheetFormatPr baseColWidth="10" defaultColWidth="10.83203125" defaultRowHeight="16" x14ac:dyDescent="0.2"/>
  <cols>
    <col min="1" max="1" width="38.5" style="41" customWidth="1"/>
    <col min="2" max="2" width="59.6640625" style="41" customWidth="1"/>
    <col min="3" max="16384" width="10.83203125" style="41"/>
  </cols>
  <sheetData>
    <row r="1" spans="1:2" s="38" customFormat="1" ht="19" x14ac:dyDescent="0.2">
      <c r="A1" s="36" t="s">
        <v>4046</v>
      </c>
      <c r="B1" s="37" t="s">
        <v>4047</v>
      </c>
    </row>
    <row r="2" spans="1:2" s="38" customFormat="1" ht="51" x14ac:dyDescent="0.2">
      <c r="A2" s="39" t="s">
        <v>5947</v>
      </c>
      <c r="B2" s="40" t="s">
        <v>5948</v>
      </c>
    </row>
    <row r="3" spans="1:2" ht="68" x14ac:dyDescent="0.2">
      <c r="A3" s="39" t="s">
        <v>1045</v>
      </c>
      <c r="B3" s="40" t="s">
        <v>4048</v>
      </c>
    </row>
    <row r="4" spans="1:2" ht="68" x14ac:dyDescent="0.2">
      <c r="A4" s="39" t="s">
        <v>1833</v>
      </c>
      <c r="B4" s="40" t="s">
        <v>4049</v>
      </c>
    </row>
    <row r="5" spans="1:2" ht="85" x14ac:dyDescent="0.2">
      <c r="A5" s="39" t="s">
        <v>1834</v>
      </c>
      <c r="B5" s="40" t="s">
        <v>4050</v>
      </c>
    </row>
    <row r="6" spans="1:2" ht="51" x14ac:dyDescent="0.2">
      <c r="A6" s="39" t="s">
        <v>1835</v>
      </c>
      <c r="B6" s="40" t="s">
        <v>4051</v>
      </c>
    </row>
    <row r="7" spans="1:2" ht="85" x14ac:dyDescent="0.2">
      <c r="A7" s="39" t="s">
        <v>1836</v>
      </c>
      <c r="B7" s="40" t="s">
        <v>4052</v>
      </c>
    </row>
    <row r="8" spans="1:2" ht="68" x14ac:dyDescent="0.2">
      <c r="A8" s="39" t="s">
        <v>2749</v>
      </c>
      <c r="B8" s="40" t="s">
        <v>4053</v>
      </c>
    </row>
    <row r="9" spans="1:2" ht="238" x14ac:dyDescent="0.2">
      <c r="A9" s="39" t="s">
        <v>2748</v>
      </c>
      <c r="B9" s="40" t="s">
        <v>4054</v>
      </c>
    </row>
    <row r="10" spans="1:2" ht="34" x14ac:dyDescent="0.2">
      <c r="A10" s="39" t="s">
        <v>5945</v>
      </c>
      <c r="B10" s="40" t="s">
        <v>5946</v>
      </c>
    </row>
    <row r="11" spans="1:2" ht="187" x14ac:dyDescent="0.2">
      <c r="A11" s="39" t="s">
        <v>2751</v>
      </c>
      <c r="B11" s="40" t="s">
        <v>4055</v>
      </c>
    </row>
    <row r="12" spans="1:2" ht="68" x14ac:dyDescent="0.2">
      <c r="A12" s="39" t="s">
        <v>4059</v>
      </c>
      <c r="B12" s="40" t="s">
        <v>4056</v>
      </c>
    </row>
    <row r="13" spans="1:2" ht="85" x14ac:dyDescent="0.2">
      <c r="A13" s="39" t="s">
        <v>5129</v>
      </c>
      <c r="B13" s="40" t="s">
        <v>4057</v>
      </c>
    </row>
    <row r="14" spans="1:2" ht="52" thickBot="1" x14ac:dyDescent="0.25">
      <c r="A14" s="42" t="s">
        <v>2750</v>
      </c>
      <c r="B14" s="43" t="s">
        <v>4058</v>
      </c>
    </row>
  </sheetData>
  <pageMargins left="0.7" right="0.7" top="0.75" bottom="0.75"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B5561"/>
  <sheetViews>
    <sheetView workbookViewId="0">
      <pane ySplit="1" topLeftCell="A2" activePane="bottomLeft" state="frozen"/>
      <selection pane="bottomLeft" activeCell="A2" sqref="A2:XFD2"/>
    </sheetView>
  </sheetViews>
  <sheetFormatPr baseColWidth="10" defaultColWidth="8.83203125" defaultRowHeight="13" x14ac:dyDescent="0.15"/>
  <cols>
    <col min="1" max="1" width="7.33203125" style="1" bestFit="1" customWidth="1"/>
    <col min="2" max="2" width="7.6640625" style="1" bestFit="1" customWidth="1"/>
    <col min="3" max="3" width="11.1640625" style="1" bestFit="1" customWidth="1"/>
    <col min="4" max="4" width="10.33203125" style="1" bestFit="1" customWidth="1"/>
    <col min="5" max="5" width="14.1640625" style="1" bestFit="1" customWidth="1"/>
    <col min="6" max="6" width="16.6640625" style="1" bestFit="1" customWidth="1"/>
    <col min="7" max="7" width="16.83203125" style="1" bestFit="1" customWidth="1"/>
    <col min="8" max="8" width="19.33203125" style="1" bestFit="1" customWidth="1"/>
    <col min="9" max="9" width="10.5" style="1" bestFit="1" customWidth="1"/>
    <col min="10" max="10" width="17.5" style="1" bestFit="1" customWidth="1"/>
    <col min="11" max="11" width="16.6640625" style="1" bestFit="1" customWidth="1"/>
    <col min="12" max="12" width="21.1640625" style="1" bestFit="1" customWidth="1"/>
    <col min="13" max="13" width="24" style="1" bestFit="1" customWidth="1"/>
    <col min="14" max="14" width="26.6640625" style="1" bestFit="1" customWidth="1"/>
    <col min="15" max="15" width="16.83203125" style="1" bestFit="1" customWidth="1"/>
    <col min="16" max="16" width="60.6640625" style="1" bestFit="1" customWidth="1"/>
    <col min="17" max="17" width="8.1640625" style="3" bestFit="1" customWidth="1"/>
    <col min="18" max="19" width="15" style="23" bestFit="1" customWidth="1"/>
    <col min="20" max="20" width="17.33203125" style="23" bestFit="1" customWidth="1"/>
    <col min="21" max="21" width="8.5" style="3" bestFit="1" customWidth="1"/>
    <col min="22" max="22" width="36.6640625" style="3" bestFit="1" customWidth="1"/>
    <col min="23" max="23" width="19.33203125" style="45" bestFit="1" customWidth="1"/>
    <col min="24" max="24" width="21.1640625" style="1" bestFit="1" customWidth="1"/>
    <col min="25" max="25" width="199.5" style="1" bestFit="1" customWidth="1"/>
    <col min="26" max="26" width="255.6640625" style="1" bestFit="1" customWidth="1"/>
    <col min="27" max="27" width="12.1640625" style="1" bestFit="1" customWidth="1"/>
    <col min="28" max="28" width="18.5" style="1" bestFit="1" customWidth="1"/>
    <col min="29" max="16384" width="8.83203125" style="1"/>
  </cols>
  <sheetData>
    <row r="1" spans="1:28" s="30" customFormat="1" ht="43" x14ac:dyDescent="0.2">
      <c r="A1" s="50" t="s">
        <v>5944</v>
      </c>
      <c r="B1" s="47" t="s">
        <v>5601</v>
      </c>
      <c r="C1" s="47" t="s">
        <v>5602</v>
      </c>
      <c r="D1" s="47" t="s">
        <v>5603</v>
      </c>
      <c r="E1" s="47" t="s">
        <v>5604</v>
      </c>
      <c r="F1" s="47" t="s">
        <v>5605</v>
      </c>
      <c r="G1" s="47" t="s">
        <v>5606</v>
      </c>
      <c r="H1" s="47" t="s">
        <v>5607</v>
      </c>
      <c r="I1" s="47" t="s">
        <v>5608</v>
      </c>
      <c r="J1" s="29" t="s">
        <v>1045</v>
      </c>
      <c r="K1" s="29" t="s">
        <v>5609</v>
      </c>
      <c r="L1" s="29" t="s">
        <v>1833</v>
      </c>
      <c r="M1" s="29" t="s">
        <v>1834</v>
      </c>
      <c r="N1" s="29" t="s">
        <v>1835</v>
      </c>
      <c r="O1" s="29" t="s">
        <v>5610</v>
      </c>
      <c r="P1" s="29" t="s">
        <v>1836</v>
      </c>
      <c r="Q1" s="29" t="s">
        <v>2749</v>
      </c>
      <c r="R1" s="27" t="s">
        <v>2748</v>
      </c>
      <c r="S1" s="27" t="s">
        <v>5941</v>
      </c>
      <c r="T1" s="28" t="s">
        <v>2751</v>
      </c>
      <c r="U1" s="28" t="s">
        <v>4059</v>
      </c>
      <c r="V1" s="28" t="s">
        <v>5129</v>
      </c>
      <c r="W1" s="28" t="s">
        <v>2750</v>
      </c>
      <c r="X1" s="30" t="s">
        <v>5614</v>
      </c>
      <c r="Y1" s="30" t="s">
        <v>5615</v>
      </c>
      <c r="Z1" s="30" t="s">
        <v>5616</v>
      </c>
      <c r="AA1" s="1" t="s">
        <v>5942</v>
      </c>
      <c r="AB1" s="1" t="s">
        <v>5943</v>
      </c>
    </row>
    <row r="2" spans="1:28" x14ac:dyDescent="0.15">
      <c r="A2" s="1">
        <v>9</v>
      </c>
      <c r="B2" s="1" t="s">
        <v>7159</v>
      </c>
      <c r="F2" s="1" t="s">
        <v>5617</v>
      </c>
      <c r="G2" s="1" t="s">
        <v>5618</v>
      </c>
      <c r="H2" s="1" t="s">
        <v>5619</v>
      </c>
      <c r="J2" s="1" t="s">
        <v>5620</v>
      </c>
      <c r="L2" s="1" t="s">
        <v>5621</v>
      </c>
      <c r="N2" s="1" t="s">
        <v>5622</v>
      </c>
      <c r="P2" s="1" t="s">
        <v>5623</v>
      </c>
      <c r="Q2" s="3">
        <v>0</v>
      </c>
      <c r="S2" s="23" t="s">
        <v>5949</v>
      </c>
      <c r="T2" s="23" t="s">
        <v>4931</v>
      </c>
      <c r="U2" s="3">
        <v>34</v>
      </c>
      <c r="W2" s="45" t="str">
        <f>HYPERLINK("http://ictvonline.org/taxonomy/p/taxonomy-history?taxnode_id=201856030","ICTVonline=201856030")</f>
        <v>ICTVonline=201856030</v>
      </c>
      <c r="AA2" s="1">
        <v>201850000</v>
      </c>
      <c r="AB2" s="1">
        <v>34</v>
      </c>
    </row>
    <row r="3" spans="1:28" x14ac:dyDescent="0.15">
      <c r="A3" s="1">
        <v>11</v>
      </c>
      <c r="B3" s="1" t="s">
        <v>7159</v>
      </c>
      <c r="F3" s="1" t="s">
        <v>5617</v>
      </c>
      <c r="G3" s="1" t="s">
        <v>5618</v>
      </c>
      <c r="H3" s="1" t="s">
        <v>5619</v>
      </c>
      <c r="J3" s="1" t="s">
        <v>5620</v>
      </c>
      <c r="L3" s="1" t="s">
        <v>5621</v>
      </c>
      <c r="N3" s="1" t="s">
        <v>5622</v>
      </c>
      <c r="P3" s="1" t="s">
        <v>5624</v>
      </c>
      <c r="Q3" s="3">
        <v>0</v>
      </c>
      <c r="S3" s="23" t="s">
        <v>5949</v>
      </c>
      <c r="T3" s="23" t="s">
        <v>4931</v>
      </c>
      <c r="U3" s="3">
        <v>34</v>
      </c>
      <c r="W3" s="45" t="str">
        <f>HYPERLINK("http://ictvonline.org/taxonomy/p/taxonomy-history?taxnode_id=201856031","ICTVonline=201856031")</f>
        <v>ICTVonline=201856031</v>
      </c>
      <c r="AA3" s="1">
        <v>201850000</v>
      </c>
      <c r="AB3" s="1">
        <v>34</v>
      </c>
    </row>
    <row r="4" spans="1:28" x14ac:dyDescent="0.15">
      <c r="A4" s="1">
        <v>13</v>
      </c>
      <c r="B4" s="1" t="s">
        <v>7159</v>
      </c>
      <c r="F4" s="1" t="s">
        <v>5617</v>
      </c>
      <c r="G4" s="1" t="s">
        <v>5618</v>
      </c>
      <c r="H4" s="1" t="s">
        <v>5619</v>
      </c>
      <c r="J4" s="1" t="s">
        <v>5620</v>
      </c>
      <c r="L4" s="1" t="s">
        <v>5621</v>
      </c>
      <c r="N4" s="1" t="s">
        <v>5622</v>
      </c>
      <c r="P4" s="1" t="s">
        <v>5625</v>
      </c>
      <c r="Q4" s="3">
        <v>0</v>
      </c>
      <c r="S4" s="23" t="s">
        <v>5949</v>
      </c>
      <c r="T4" s="23" t="s">
        <v>4931</v>
      </c>
      <c r="U4" s="3">
        <v>34</v>
      </c>
      <c r="W4" s="45" t="str">
        <f>HYPERLINK("http://ictvonline.org/taxonomy/p/taxonomy-history?taxnode_id=201856032","ICTVonline=201856032")</f>
        <v>ICTVonline=201856032</v>
      </c>
      <c r="AA4" s="1">
        <v>201850000</v>
      </c>
      <c r="AB4" s="1">
        <v>34</v>
      </c>
    </row>
    <row r="5" spans="1:28" x14ac:dyDescent="0.15">
      <c r="A5" s="1">
        <v>15</v>
      </c>
      <c r="B5" s="1" t="s">
        <v>7159</v>
      </c>
      <c r="F5" s="1" t="s">
        <v>5617</v>
      </c>
      <c r="G5" s="1" t="s">
        <v>5618</v>
      </c>
      <c r="H5" s="1" t="s">
        <v>5619</v>
      </c>
      <c r="J5" s="1" t="s">
        <v>5620</v>
      </c>
      <c r="L5" s="1" t="s">
        <v>5621</v>
      </c>
      <c r="N5" s="1" t="s">
        <v>5622</v>
      </c>
      <c r="P5" s="1" t="s">
        <v>5626</v>
      </c>
      <c r="Q5" s="3">
        <v>0</v>
      </c>
      <c r="S5" s="23" t="s">
        <v>5949</v>
      </c>
      <c r="T5" s="23" t="s">
        <v>4931</v>
      </c>
      <c r="U5" s="3">
        <v>34</v>
      </c>
      <c r="W5" s="45" t="str">
        <f>HYPERLINK("http://ictvonline.org/taxonomy/p/taxonomy-history?taxnode_id=201856033","ICTVonline=201856033")</f>
        <v>ICTVonline=201856033</v>
      </c>
      <c r="AA5" s="1">
        <v>201850000</v>
      </c>
      <c r="AB5" s="1">
        <v>34</v>
      </c>
    </row>
    <row r="6" spans="1:28" x14ac:dyDescent="0.15">
      <c r="A6" s="1">
        <v>17</v>
      </c>
      <c r="B6" s="1" t="s">
        <v>7159</v>
      </c>
      <c r="F6" s="1" t="s">
        <v>5617</v>
      </c>
      <c r="G6" s="1" t="s">
        <v>5618</v>
      </c>
      <c r="H6" s="1" t="s">
        <v>5619</v>
      </c>
      <c r="J6" s="1" t="s">
        <v>5620</v>
      </c>
      <c r="L6" s="1" t="s">
        <v>5621</v>
      </c>
      <c r="N6" s="1" t="s">
        <v>5622</v>
      </c>
      <c r="P6" s="1" t="s">
        <v>5627</v>
      </c>
      <c r="Q6" s="3">
        <v>0</v>
      </c>
      <c r="S6" s="23" t="s">
        <v>5949</v>
      </c>
      <c r="T6" s="23" t="s">
        <v>4931</v>
      </c>
      <c r="U6" s="3">
        <v>34</v>
      </c>
      <c r="W6" s="45" t="str">
        <f>HYPERLINK("http://ictvonline.org/taxonomy/p/taxonomy-history?taxnode_id=201856034","ICTVonline=201856034")</f>
        <v>ICTVonline=201856034</v>
      </c>
      <c r="AA6" s="1">
        <v>201850000</v>
      </c>
      <c r="AB6" s="1">
        <v>34</v>
      </c>
    </row>
    <row r="7" spans="1:28" x14ac:dyDescent="0.15">
      <c r="A7" s="1">
        <v>19</v>
      </c>
      <c r="B7" s="1" t="s">
        <v>7159</v>
      </c>
      <c r="F7" s="1" t="s">
        <v>5617</v>
      </c>
      <c r="G7" s="1" t="s">
        <v>5618</v>
      </c>
      <c r="H7" s="1" t="s">
        <v>5619</v>
      </c>
      <c r="J7" s="1" t="s">
        <v>5620</v>
      </c>
      <c r="L7" s="1" t="s">
        <v>5621</v>
      </c>
      <c r="N7" s="1" t="s">
        <v>5622</v>
      </c>
      <c r="P7" s="1" t="s">
        <v>5628</v>
      </c>
      <c r="Q7" s="3">
        <v>0</v>
      </c>
      <c r="S7" s="23" t="s">
        <v>5949</v>
      </c>
      <c r="T7" s="23" t="s">
        <v>4931</v>
      </c>
      <c r="U7" s="3">
        <v>34</v>
      </c>
      <c r="W7" s="45" t="str">
        <f>HYPERLINK("http://ictvonline.org/taxonomy/p/taxonomy-history?taxnode_id=201856035","ICTVonline=201856035")</f>
        <v>ICTVonline=201856035</v>
      </c>
      <c r="AA7" s="1">
        <v>201850000</v>
      </c>
      <c r="AB7" s="1">
        <v>34</v>
      </c>
    </row>
    <row r="8" spans="1:28" x14ac:dyDescent="0.15">
      <c r="A8" s="1">
        <v>21</v>
      </c>
      <c r="B8" s="1" t="s">
        <v>7159</v>
      </c>
      <c r="F8" s="1" t="s">
        <v>5617</v>
      </c>
      <c r="G8" s="1" t="s">
        <v>5618</v>
      </c>
      <c r="H8" s="1" t="s">
        <v>5619</v>
      </c>
      <c r="J8" s="1" t="s">
        <v>5620</v>
      </c>
      <c r="L8" s="1" t="s">
        <v>5621</v>
      </c>
      <c r="N8" s="1" t="s">
        <v>5622</v>
      </c>
      <c r="P8" s="1" t="s">
        <v>5629</v>
      </c>
      <c r="Q8" s="3">
        <v>1</v>
      </c>
      <c r="S8" s="23" t="s">
        <v>5949</v>
      </c>
      <c r="T8" s="23" t="s">
        <v>4931</v>
      </c>
      <c r="U8" s="3">
        <v>34</v>
      </c>
      <c r="W8" s="45" t="str">
        <f>HYPERLINK("http://ictvonline.org/taxonomy/p/taxonomy-history?taxnode_id=201856036","ICTVonline=201856036")</f>
        <v>ICTVonline=201856036</v>
      </c>
      <c r="AA8" s="1">
        <v>201850000</v>
      </c>
      <c r="AB8" s="1">
        <v>34</v>
      </c>
    </row>
    <row r="9" spans="1:28" x14ac:dyDescent="0.15">
      <c r="A9" s="1">
        <v>23</v>
      </c>
      <c r="B9" s="1" t="s">
        <v>7159</v>
      </c>
      <c r="F9" s="1" t="s">
        <v>5617</v>
      </c>
      <c r="G9" s="1" t="s">
        <v>5618</v>
      </c>
      <c r="H9" s="1" t="s">
        <v>5619</v>
      </c>
      <c r="J9" s="1" t="s">
        <v>5620</v>
      </c>
      <c r="L9" s="1" t="s">
        <v>5621</v>
      </c>
      <c r="N9" s="1" t="s">
        <v>5622</v>
      </c>
      <c r="P9" s="1" t="s">
        <v>5630</v>
      </c>
      <c r="Q9" s="3">
        <v>0</v>
      </c>
      <c r="S9" s="23" t="s">
        <v>5949</v>
      </c>
      <c r="T9" s="23" t="s">
        <v>4931</v>
      </c>
      <c r="U9" s="3">
        <v>34</v>
      </c>
      <c r="W9" s="45" t="str">
        <f>HYPERLINK("http://ictvonline.org/taxonomy/p/taxonomy-history?taxnode_id=201856037","ICTVonline=201856037")</f>
        <v>ICTVonline=201856037</v>
      </c>
      <c r="AA9" s="1">
        <v>201850000</v>
      </c>
      <c r="AB9" s="1">
        <v>34</v>
      </c>
    </row>
    <row r="10" spans="1:28" x14ac:dyDescent="0.15">
      <c r="A10" s="1">
        <v>33</v>
      </c>
      <c r="B10" s="1" t="s">
        <v>7159</v>
      </c>
      <c r="F10" s="1" t="s">
        <v>5617</v>
      </c>
      <c r="G10" s="1" t="s">
        <v>5618</v>
      </c>
      <c r="H10" s="1" t="s">
        <v>5631</v>
      </c>
      <c r="J10" s="1" t="s">
        <v>5632</v>
      </c>
      <c r="L10" s="1" t="s">
        <v>5317</v>
      </c>
      <c r="N10" s="1" t="s">
        <v>1622</v>
      </c>
      <c r="P10" s="1" t="s">
        <v>5318</v>
      </c>
      <c r="Q10" s="3">
        <v>0</v>
      </c>
      <c r="S10" s="23" t="s">
        <v>5949</v>
      </c>
      <c r="T10" s="23" t="s">
        <v>4931</v>
      </c>
      <c r="U10" s="3">
        <v>34</v>
      </c>
      <c r="W10" s="45" t="str">
        <f>HYPERLINK("http://ictvonline.org/taxonomy/p/taxonomy-history?taxnode_id=201853946","ICTVonline=201853946")</f>
        <v>ICTVonline=201853946</v>
      </c>
      <c r="AA10" s="1">
        <v>201850000</v>
      </c>
      <c r="AB10" s="1">
        <v>34</v>
      </c>
    </row>
    <row r="11" spans="1:28" x14ac:dyDescent="0.15">
      <c r="A11" s="1">
        <v>35</v>
      </c>
      <c r="B11" s="1" t="s">
        <v>7159</v>
      </c>
      <c r="F11" s="1" t="s">
        <v>5617</v>
      </c>
      <c r="G11" s="1" t="s">
        <v>5618</v>
      </c>
      <c r="H11" s="1" t="s">
        <v>5631</v>
      </c>
      <c r="J11" s="1" t="s">
        <v>5632</v>
      </c>
      <c r="L11" s="1" t="s">
        <v>5317</v>
      </c>
      <c r="N11" s="1" t="s">
        <v>1622</v>
      </c>
      <c r="P11" s="1" t="s">
        <v>5319</v>
      </c>
      <c r="Q11" s="3">
        <v>1</v>
      </c>
      <c r="S11" s="23" t="s">
        <v>5949</v>
      </c>
      <c r="T11" s="23" t="s">
        <v>4931</v>
      </c>
      <c r="U11" s="3">
        <v>34</v>
      </c>
      <c r="W11" s="45" t="str">
        <f>HYPERLINK("http://ictvonline.org/taxonomy/p/taxonomy-history?taxnode_id=201853947","ICTVonline=201853947")</f>
        <v>ICTVonline=201853947</v>
      </c>
      <c r="AA11" s="1">
        <v>201850000</v>
      </c>
      <c r="AB11" s="1">
        <v>34</v>
      </c>
    </row>
    <row r="12" spans="1:28" x14ac:dyDescent="0.15">
      <c r="A12" s="1">
        <v>37</v>
      </c>
      <c r="B12" s="1" t="s">
        <v>7159</v>
      </c>
      <c r="F12" s="1" t="s">
        <v>5617</v>
      </c>
      <c r="G12" s="1" t="s">
        <v>5618</v>
      </c>
      <c r="H12" s="1" t="s">
        <v>5631</v>
      </c>
      <c r="J12" s="1" t="s">
        <v>5632</v>
      </c>
      <c r="L12" s="1" t="s">
        <v>5317</v>
      </c>
      <c r="N12" s="1" t="s">
        <v>1622</v>
      </c>
      <c r="P12" s="1" t="s">
        <v>5320</v>
      </c>
      <c r="Q12" s="3">
        <v>0</v>
      </c>
      <c r="S12" s="23" t="s">
        <v>5949</v>
      </c>
      <c r="T12" s="23" t="s">
        <v>4931</v>
      </c>
      <c r="U12" s="3">
        <v>34</v>
      </c>
      <c r="W12" s="45" t="str">
        <f>HYPERLINK("http://ictvonline.org/taxonomy/p/taxonomy-history?taxnode_id=201853948","ICTVonline=201853948")</f>
        <v>ICTVonline=201853948</v>
      </c>
      <c r="AA12" s="1">
        <v>201850000</v>
      </c>
      <c r="AB12" s="1">
        <v>34</v>
      </c>
    </row>
    <row r="13" spans="1:28" x14ac:dyDescent="0.15">
      <c r="A13" s="1">
        <v>39</v>
      </c>
      <c r="B13" s="1" t="s">
        <v>7159</v>
      </c>
      <c r="F13" s="1" t="s">
        <v>5617</v>
      </c>
      <c r="G13" s="1" t="s">
        <v>5618</v>
      </c>
      <c r="H13" s="1" t="s">
        <v>5631</v>
      </c>
      <c r="J13" s="1" t="s">
        <v>5632</v>
      </c>
      <c r="L13" s="1" t="s">
        <v>5317</v>
      </c>
      <c r="N13" s="1" t="s">
        <v>1622</v>
      </c>
      <c r="P13" s="1" t="s">
        <v>5321</v>
      </c>
      <c r="Q13" s="3">
        <v>0</v>
      </c>
      <c r="S13" s="23" t="s">
        <v>5949</v>
      </c>
      <c r="T13" s="23" t="s">
        <v>4931</v>
      </c>
      <c r="U13" s="3">
        <v>34</v>
      </c>
      <c r="W13" s="45" t="str">
        <f>HYPERLINK("http://ictvonline.org/taxonomy/p/taxonomy-history?taxnode_id=201853949","ICTVonline=201853949")</f>
        <v>ICTVonline=201853949</v>
      </c>
      <c r="AA13" s="1">
        <v>201850000</v>
      </c>
      <c r="AB13" s="1">
        <v>34</v>
      </c>
    </row>
    <row r="14" spans="1:28" x14ac:dyDescent="0.15">
      <c r="A14" s="1">
        <v>41</v>
      </c>
      <c r="B14" s="1" t="s">
        <v>7159</v>
      </c>
      <c r="F14" s="1" t="s">
        <v>5617</v>
      </c>
      <c r="G14" s="1" t="s">
        <v>5618</v>
      </c>
      <c r="H14" s="1" t="s">
        <v>5631</v>
      </c>
      <c r="J14" s="1" t="s">
        <v>5632</v>
      </c>
      <c r="L14" s="1" t="s">
        <v>5317</v>
      </c>
      <c r="N14" s="1" t="s">
        <v>1622</v>
      </c>
      <c r="P14" s="1" t="s">
        <v>5322</v>
      </c>
      <c r="Q14" s="3">
        <v>0</v>
      </c>
      <c r="S14" s="23" t="s">
        <v>5949</v>
      </c>
      <c r="T14" s="23" t="s">
        <v>4931</v>
      </c>
      <c r="U14" s="3">
        <v>34</v>
      </c>
      <c r="W14" s="45" t="str">
        <f>HYPERLINK("http://ictvonline.org/taxonomy/p/taxonomy-history?taxnode_id=201853950","ICTVonline=201853950")</f>
        <v>ICTVonline=201853950</v>
      </c>
      <c r="AA14" s="1">
        <v>201850000</v>
      </c>
      <c r="AB14" s="1">
        <v>34</v>
      </c>
    </row>
    <row r="15" spans="1:28" x14ac:dyDescent="0.15">
      <c r="A15" s="1">
        <v>43</v>
      </c>
      <c r="B15" s="1" t="s">
        <v>7159</v>
      </c>
      <c r="F15" s="1" t="s">
        <v>5617</v>
      </c>
      <c r="G15" s="1" t="s">
        <v>5618</v>
      </c>
      <c r="H15" s="1" t="s">
        <v>5631</v>
      </c>
      <c r="J15" s="1" t="s">
        <v>5632</v>
      </c>
      <c r="L15" s="1" t="s">
        <v>5317</v>
      </c>
      <c r="N15" s="1" t="s">
        <v>1622</v>
      </c>
      <c r="P15" s="1" t="s">
        <v>5323</v>
      </c>
      <c r="Q15" s="3">
        <v>0</v>
      </c>
      <c r="S15" s="23" t="s">
        <v>5949</v>
      </c>
      <c r="T15" s="23" t="s">
        <v>4931</v>
      </c>
      <c r="U15" s="3">
        <v>34</v>
      </c>
      <c r="W15" s="45" t="str">
        <f>HYPERLINK("http://ictvonline.org/taxonomy/p/taxonomy-history?taxnode_id=201853951","ICTVonline=201853951")</f>
        <v>ICTVonline=201853951</v>
      </c>
      <c r="AA15" s="1">
        <v>201850000</v>
      </c>
      <c r="AB15" s="1">
        <v>34</v>
      </c>
    </row>
    <row r="16" spans="1:28" x14ac:dyDescent="0.15">
      <c r="A16" s="1">
        <v>45</v>
      </c>
      <c r="B16" s="1" t="s">
        <v>7159</v>
      </c>
      <c r="F16" s="1" t="s">
        <v>5617</v>
      </c>
      <c r="G16" s="1" t="s">
        <v>5618</v>
      </c>
      <c r="H16" s="1" t="s">
        <v>5631</v>
      </c>
      <c r="J16" s="1" t="s">
        <v>5632</v>
      </c>
      <c r="L16" s="1" t="s">
        <v>5317</v>
      </c>
      <c r="N16" s="1" t="s">
        <v>1622</v>
      </c>
      <c r="P16" s="1" t="s">
        <v>5324</v>
      </c>
      <c r="Q16" s="3">
        <v>0</v>
      </c>
      <c r="S16" s="23" t="s">
        <v>5949</v>
      </c>
      <c r="T16" s="23" t="s">
        <v>4931</v>
      </c>
      <c r="U16" s="3">
        <v>34</v>
      </c>
      <c r="W16" s="45" t="str">
        <f>HYPERLINK("http://ictvonline.org/taxonomy/p/taxonomy-history?taxnode_id=201853952","ICTVonline=201853952")</f>
        <v>ICTVonline=201853952</v>
      </c>
      <c r="AA16" s="1">
        <v>201850000</v>
      </c>
      <c r="AB16" s="1">
        <v>34</v>
      </c>
    </row>
    <row r="17" spans="1:28" x14ac:dyDescent="0.15">
      <c r="A17" s="1">
        <v>55</v>
      </c>
      <c r="B17" s="1" t="s">
        <v>7159</v>
      </c>
      <c r="F17" s="1" t="s">
        <v>5617</v>
      </c>
      <c r="G17" s="1" t="s">
        <v>5618</v>
      </c>
      <c r="H17" s="1" t="s">
        <v>5633</v>
      </c>
      <c r="J17" s="1" t="s">
        <v>5634</v>
      </c>
      <c r="L17" s="1" t="s">
        <v>5635</v>
      </c>
      <c r="N17" s="1" t="s">
        <v>5636</v>
      </c>
      <c r="P17" s="1" t="s">
        <v>5637</v>
      </c>
      <c r="Q17" s="3">
        <v>0</v>
      </c>
      <c r="S17" s="23" t="s">
        <v>5949</v>
      </c>
      <c r="T17" s="23" t="s">
        <v>4931</v>
      </c>
      <c r="U17" s="3">
        <v>34</v>
      </c>
      <c r="W17" s="45" t="str">
        <f>HYPERLINK("http://ictvonline.org/taxonomy/p/taxonomy-history?taxnode_id=201856041","ICTVonline=201856041")</f>
        <v>ICTVonline=201856041</v>
      </c>
      <c r="AA17" s="1">
        <v>201850000</v>
      </c>
      <c r="AB17" s="1">
        <v>34</v>
      </c>
    </row>
    <row r="18" spans="1:28" x14ac:dyDescent="0.15">
      <c r="A18" s="1">
        <v>57</v>
      </c>
      <c r="B18" s="1" t="s">
        <v>7159</v>
      </c>
      <c r="F18" s="1" t="s">
        <v>5617</v>
      </c>
      <c r="G18" s="1" t="s">
        <v>5618</v>
      </c>
      <c r="H18" s="1" t="s">
        <v>5633</v>
      </c>
      <c r="J18" s="1" t="s">
        <v>5634</v>
      </c>
      <c r="L18" s="1" t="s">
        <v>5635</v>
      </c>
      <c r="N18" s="1" t="s">
        <v>5636</v>
      </c>
      <c r="P18" s="1" t="s">
        <v>5638</v>
      </c>
      <c r="Q18" s="3">
        <v>1</v>
      </c>
      <c r="S18" s="23" t="s">
        <v>5949</v>
      </c>
      <c r="T18" s="23" t="s">
        <v>4931</v>
      </c>
      <c r="U18" s="3">
        <v>34</v>
      </c>
      <c r="W18" s="45" t="str">
        <f>HYPERLINK("http://ictvonline.org/taxonomy/p/taxonomy-history?taxnode_id=201856042","ICTVonline=201856042")</f>
        <v>ICTVonline=201856042</v>
      </c>
      <c r="AA18" s="1">
        <v>201850000</v>
      </c>
      <c r="AB18" s="1">
        <v>34</v>
      </c>
    </row>
    <row r="19" spans="1:28" x14ac:dyDescent="0.15">
      <c r="A19" s="1">
        <v>59</v>
      </c>
      <c r="B19" s="1" t="s">
        <v>7159</v>
      </c>
      <c r="F19" s="1" t="s">
        <v>5617</v>
      </c>
      <c r="G19" s="1" t="s">
        <v>5618</v>
      </c>
      <c r="H19" s="1" t="s">
        <v>5633</v>
      </c>
      <c r="J19" s="1" t="s">
        <v>5634</v>
      </c>
      <c r="L19" s="1" t="s">
        <v>5635</v>
      </c>
      <c r="N19" s="1" t="s">
        <v>5636</v>
      </c>
      <c r="P19" s="1" t="s">
        <v>5639</v>
      </c>
      <c r="Q19" s="3">
        <v>0</v>
      </c>
      <c r="S19" s="23" t="s">
        <v>5949</v>
      </c>
      <c r="T19" s="23" t="s">
        <v>4931</v>
      </c>
      <c r="U19" s="3">
        <v>34</v>
      </c>
      <c r="W19" s="45" t="str">
        <f>HYPERLINK("http://ictvonline.org/taxonomy/p/taxonomy-history?taxnode_id=201856043","ICTVonline=201856043")</f>
        <v>ICTVonline=201856043</v>
      </c>
      <c r="AA19" s="1">
        <v>201850000</v>
      </c>
      <c r="AB19" s="1">
        <v>34</v>
      </c>
    </row>
    <row r="20" spans="1:28" x14ac:dyDescent="0.15">
      <c r="A20" s="1">
        <v>61</v>
      </c>
      <c r="B20" s="1" t="s">
        <v>7159</v>
      </c>
      <c r="F20" s="1" t="s">
        <v>5617</v>
      </c>
      <c r="G20" s="1" t="s">
        <v>5618</v>
      </c>
      <c r="H20" s="1" t="s">
        <v>5633</v>
      </c>
      <c r="J20" s="1" t="s">
        <v>5634</v>
      </c>
      <c r="L20" s="1" t="s">
        <v>5635</v>
      </c>
      <c r="N20" s="1" t="s">
        <v>5636</v>
      </c>
      <c r="P20" s="1" t="s">
        <v>5640</v>
      </c>
      <c r="Q20" s="3">
        <v>0</v>
      </c>
      <c r="S20" s="23" t="s">
        <v>5949</v>
      </c>
      <c r="T20" s="23" t="s">
        <v>4931</v>
      </c>
      <c r="U20" s="3">
        <v>34</v>
      </c>
      <c r="W20" s="45" t="str">
        <f>HYPERLINK("http://ictvonline.org/taxonomy/p/taxonomy-history?taxnode_id=201856044","ICTVonline=201856044")</f>
        <v>ICTVonline=201856044</v>
      </c>
      <c r="AA20" s="1">
        <v>201850000</v>
      </c>
      <c r="AB20" s="1">
        <v>34</v>
      </c>
    </row>
    <row r="21" spans="1:28" x14ac:dyDescent="0.15">
      <c r="A21" s="1">
        <v>63</v>
      </c>
      <c r="B21" s="1" t="s">
        <v>7159</v>
      </c>
      <c r="F21" s="1" t="s">
        <v>5617</v>
      </c>
      <c r="G21" s="1" t="s">
        <v>5618</v>
      </c>
      <c r="H21" s="1" t="s">
        <v>5633</v>
      </c>
      <c r="J21" s="1" t="s">
        <v>5634</v>
      </c>
      <c r="L21" s="1" t="s">
        <v>5635</v>
      </c>
      <c r="N21" s="1" t="s">
        <v>5636</v>
      </c>
      <c r="P21" s="1" t="s">
        <v>5641</v>
      </c>
      <c r="Q21" s="3">
        <v>0</v>
      </c>
      <c r="S21" s="23" t="s">
        <v>5949</v>
      </c>
      <c r="T21" s="23" t="s">
        <v>4931</v>
      </c>
      <c r="U21" s="3">
        <v>34</v>
      </c>
      <c r="W21" s="45" t="str">
        <f>HYPERLINK("http://ictvonline.org/taxonomy/p/taxonomy-history?taxnode_id=201856045","ICTVonline=201856045")</f>
        <v>ICTVonline=201856045</v>
      </c>
      <c r="AA21" s="1">
        <v>201850000</v>
      </c>
      <c r="AB21" s="1">
        <v>34</v>
      </c>
    </row>
    <row r="22" spans="1:28" x14ac:dyDescent="0.15">
      <c r="A22" s="1">
        <v>65</v>
      </c>
      <c r="B22" s="1" t="s">
        <v>7159</v>
      </c>
      <c r="F22" s="1" t="s">
        <v>5617</v>
      </c>
      <c r="G22" s="1" t="s">
        <v>5618</v>
      </c>
      <c r="H22" s="1" t="s">
        <v>5633</v>
      </c>
      <c r="J22" s="1" t="s">
        <v>5634</v>
      </c>
      <c r="L22" s="1" t="s">
        <v>5635</v>
      </c>
      <c r="N22" s="1" t="s">
        <v>5636</v>
      </c>
      <c r="P22" s="1" t="s">
        <v>5642</v>
      </c>
      <c r="Q22" s="3">
        <v>0</v>
      </c>
      <c r="S22" s="23" t="s">
        <v>5949</v>
      </c>
      <c r="T22" s="23" t="s">
        <v>4931</v>
      </c>
      <c r="U22" s="3">
        <v>34</v>
      </c>
      <c r="W22" s="45" t="str">
        <f>HYPERLINK("http://ictvonline.org/taxonomy/p/taxonomy-history?taxnode_id=201856046","ICTVonline=201856046")</f>
        <v>ICTVonline=201856046</v>
      </c>
      <c r="AA22" s="1">
        <v>201850000</v>
      </c>
      <c r="AB22" s="1">
        <v>34</v>
      </c>
    </row>
    <row r="23" spans="1:28" x14ac:dyDescent="0.15">
      <c r="A23" s="1">
        <v>67</v>
      </c>
      <c r="B23" s="1" t="s">
        <v>7159</v>
      </c>
      <c r="F23" s="1" t="s">
        <v>5617</v>
      </c>
      <c r="G23" s="1" t="s">
        <v>5618</v>
      </c>
      <c r="H23" s="1" t="s">
        <v>5633</v>
      </c>
      <c r="J23" s="1" t="s">
        <v>5634</v>
      </c>
      <c r="L23" s="1" t="s">
        <v>5635</v>
      </c>
      <c r="N23" s="1" t="s">
        <v>5636</v>
      </c>
      <c r="P23" s="1" t="s">
        <v>5643</v>
      </c>
      <c r="Q23" s="3">
        <v>0</v>
      </c>
      <c r="S23" s="23" t="s">
        <v>5949</v>
      </c>
      <c r="T23" s="23" t="s">
        <v>4931</v>
      </c>
      <c r="U23" s="3">
        <v>34</v>
      </c>
      <c r="W23" s="45" t="str">
        <f>HYPERLINK("http://ictvonline.org/taxonomy/p/taxonomy-history?taxnode_id=201856047","ICTVonline=201856047")</f>
        <v>ICTVonline=201856047</v>
      </c>
      <c r="AA23" s="1">
        <v>201850000</v>
      </c>
      <c r="AB23" s="1">
        <v>34</v>
      </c>
    </row>
    <row r="24" spans="1:28" x14ac:dyDescent="0.15">
      <c r="A24" s="1">
        <v>69</v>
      </c>
      <c r="B24" s="1" t="s">
        <v>7159</v>
      </c>
      <c r="F24" s="1" t="s">
        <v>5617</v>
      </c>
      <c r="G24" s="1" t="s">
        <v>5618</v>
      </c>
      <c r="H24" s="1" t="s">
        <v>5633</v>
      </c>
      <c r="J24" s="1" t="s">
        <v>5634</v>
      </c>
      <c r="L24" s="1" t="s">
        <v>5635</v>
      </c>
      <c r="N24" s="1" t="s">
        <v>5636</v>
      </c>
      <c r="P24" s="1" t="s">
        <v>5644</v>
      </c>
      <c r="Q24" s="3">
        <v>0</v>
      </c>
      <c r="S24" s="23" t="s">
        <v>5949</v>
      </c>
      <c r="T24" s="23" t="s">
        <v>4931</v>
      </c>
      <c r="U24" s="3">
        <v>34</v>
      </c>
      <c r="W24" s="45" t="str">
        <f>HYPERLINK("http://ictvonline.org/taxonomy/p/taxonomy-history?taxnode_id=201856048","ICTVonline=201856048")</f>
        <v>ICTVonline=201856048</v>
      </c>
      <c r="AA24" s="1">
        <v>201850000</v>
      </c>
      <c r="AB24" s="1">
        <v>34</v>
      </c>
    </row>
    <row r="25" spans="1:28" x14ac:dyDescent="0.15">
      <c r="A25" s="1">
        <v>71</v>
      </c>
      <c r="B25" s="1" t="s">
        <v>7159</v>
      </c>
      <c r="F25" s="1" t="s">
        <v>5617</v>
      </c>
      <c r="G25" s="1" t="s">
        <v>5618</v>
      </c>
      <c r="H25" s="1" t="s">
        <v>5633</v>
      </c>
      <c r="J25" s="1" t="s">
        <v>5634</v>
      </c>
      <c r="L25" s="1" t="s">
        <v>5635</v>
      </c>
      <c r="N25" s="1" t="s">
        <v>5636</v>
      </c>
      <c r="P25" s="1" t="s">
        <v>5645</v>
      </c>
      <c r="Q25" s="3">
        <v>0</v>
      </c>
      <c r="S25" s="23" t="s">
        <v>5949</v>
      </c>
      <c r="T25" s="23" t="s">
        <v>4931</v>
      </c>
      <c r="U25" s="3">
        <v>34</v>
      </c>
      <c r="W25" s="45" t="str">
        <f>HYPERLINK("http://ictvonline.org/taxonomy/p/taxonomy-history?taxnode_id=201856049","ICTVonline=201856049")</f>
        <v>ICTVonline=201856049</v>
      </c>
      <c r="AA25" s="1">
        <v>201850000</v>
      </c>
      <c r="AB25" s="1">
        <v>34</v>
      </c>
    </row>
    <row r="26" spans="1:28" x14ac:dyDescent="0.15">
      <c r="A26" s="1">
        <v>73</v>
      </c>
      <c r="B26" s="1" t="s">
        <v>7159</v>
      </c>
      <c r="F26" s="1" t="s">
        <v>5617</v>
      </c>
      <c r="G26" s="1" t="s">
        <v>5618</v>
      </c>
      <c r="H26" s="1" t="s">
        <v>5633</v>
      </c>
      <c r="J26" s="1" t="s">
        <v>5634</v>
      </c>
      <c r="L26" s="1" t="s">
        <v>5635</v>
      </c>
      <c r="N26" s="1" t="s">
        <v>5636</v>
      </c>
      <c r="P26" s="1" t="s">
        <v>5646</v>
      </c>
      <c r="Q26" s="3">
        <v>0</v>
      </c>
      <c r="S26" s="23" t="s">
        <v>5949</v>
      </c>
      <c r="T26" s="23" t="s">
        <v>4931</v>
      </c>
      <c r="U26" s="3">
        <v>34</v>
      </c>
      <c r="W26" s="45" t="str">
        <f>HYPERLINK("http://ictvonline.org/taxonomy/p/taxonomy-history?taxnode_id=201856050","ICTVonline=201856050")</f>
        <v>ICTVonline=201856050</v>
      </c>
      <c r="AA26" s="1">
        <v>201850000</v>
      </c>
      <c r="AB26" s="1">
        <v>34</v>
      </c>
    </row>
    <row r="27" spans="1:28" x14ac:dyDescent="0.15">
      <c r="A27" s="1">
        <v>75</v>
      </c>
      <c r="B27" s="1" t="s">
        <v>7159</v>
      </c>
      <c r="F27" s="1" t="s">
        <v>5617</v>
      </c>
      <c r="G27" s="1" t="s">
        <v>5618</v>
      </c>
      <c r="H27" s="1" t="s">
        <v>5633</v>
      </c>
      <c r="J27" s="1" t="s">
        <v>5634</v>
      </c>
      <c r="L27" s="1" t="s">
        <v>5635</v>
      </c>
      <c r="N27" s="1" t="s">
        <v>5636</v>
      </c>
      <c r="P27" s="1" t="s">
        <v>5647</v>
      </c>
      <c r="Q27" s="3">
        <v>0</v>
      </c>
      <c r="S27" s="23" t="s">
        <v>5949</v>
      </c>
      <c r="T27" s="23" t="s">
        <v>4931</v>
      </c>
      <c r="U27" s="3">
        <v>34</v>
      </c>
      <c r="W27" s="45" t="str">
        <f>HYPERLINK("http://ictvonline.org/taxonomy/p/taxonomy-history?taxnode_id=201856051","ICTVonline=201856051")</f>
        <v>ICTVonline=201856051</v>
      </c>
      <c r="AA27" s="1">
        <v>201850000</v>
      </c>
      <c r="AB27" s="1">
        <v>34</v>
      </c>
    </row>
    <row r="28" spans="1:28" x14ac:dyDescent="0.15">
      <c r="A28" s="1">
        <v>77</v>
      </c>
      <c r="B28" s="1" t="s">
        <v>7159</v>
      </c>
      <c r="F28" s="1" t="s">
        <v>5617</v>
      </c>
      <c r="G28" s="1" t="s">
        <v>5618</v>
      </c>
      <c r="H28" s="1" t="s">
        <v>5633</v>
      </c>
      <c r="J28" s="1" t="s">
        <v>5634</v>
      </c>
      <c r="L28" s="1" t="s">
        <v>5635</v>
      </c>
      <c r="N28" s="1" t="s">
        <v>5636</v>
      </c>
      <c r="P28" s="1" t="s">
        <v>5648</v>
      </c>
      <c r="Q28" s="3">
        <v>0</v>
      </c>
      <c r="S28" s="23" t="s">
        <v>5949</v>
      </c>
      <c r="T28" s="23" t="s">
        <v>4931</v>
      </c>
      <c r="U28" s="3">
        <v>34</v>
      </c>
      <c r="W28" s="45" t="str">
        <f>HYPERLINK("http://ictvonline.org/taxonomy/p/taxonomy-history?taxnode_id=201856053","ICTVonline=201856053")</f>
        <v>ICTVonline=201856053</v>
      </c>
      <c r="AA28" s="1">
        <v>201850000</v>
      </c>
      <c r="AB28" s="1">
        <v>34</v>
      </c>
    </row>
    <row r="29" spans="1:28" x14ac:dyDescent="0.15">
      <c r="A29" s="1">
        <v>79</v>
      </c>
      <c r="B29" s="1" t="s">
        <v>7159</v>
      </c>
      <c r="F29" s="1" t="s">
        <v>5617</v>
      </c>
      <c r="G29" s="1" t="s">
        <v>5618</v>
      </c>
      <c r="H29" s="1" t="s">
        <v>5633</v>
      </c>
      <c r="J29" s="1" t="s">
        <v>5634</v>
      </c>
      <c r="L29" s="1" t="s">
        <v>5635</v>
      </c>
      <c r="N29" s="1" t="s">
        <v>5636</v>
      </c>
      <c r="P29" s="1" t="s">
        <v>5649</v>
      </c>
      <c r="Q29" s="3">
        <v>0</v>
      </c>
      <c r="S29" s="23" t="s">
        <v>5949</v>
      </c>
      <c r="T29" s="23" t="s">
        <v>4931</v>
      </c>
      <c r="U29" s="3">
        <v>34</v>
      </c>
      <c r="W29" s="45" t="str">
        <f>HYPERLINK("http://ictvonline.org/taxonomy/p/taxonomy-history?taxnode_id=201856054","ICTVonline=201856054")</f>
        <v>ICTVonline=201856054</v>
      </c>
      <c r="AA29" s="1">
        <v>201850000</v>
      </c>
      <c r="AB29" s="1">
        <v>34</v>
      </c>
    </row>
    <row r="30" spans="1:28" x14ac:dyDescent="0.15">
      <c r="A30" s="1">
        <v>81</v>
      </c>
      <c r="B30" s="1" t="s">
        <v>7159</v>
      </c>
      <c r="F30" s="1" t="s">
        <v>5617</v>
      </c>
      <c r="G30" s="1" t="s">
        <v>5618</v>
      </c>
      <c r="H30" s="1" t="s">
        <v>5633</v>
      </c>
      <c r="J30" s="1" t="s">
        <v>5634</v>
      </c>
      <c r="L30" s="1" t="s">
        <v>5635</v>
      </c>
      <c r="N30" s="1" t="s">
        <v>5636</v>
      </c>
      <c r="P30" s="1" t="s">
        <v>5650</v>
      </c>
      <c r="Q30" s="3">
        <v>0</v>
      </c>
      <c r="S30" s="23" t="s">
        <v>5949</v>
      </c>
      <c r="T30" s="23" t="s">
        <v>4931</v>
      </c>
      <c r="U30" s="3">
        <v>34</v>
      </c>
      <c r="W30" s="45" t="str">
        <f>HYPERLINK("http://ictvonline.org/taxonomy/p/taxonomy-history?taxnode_id=201856055","ICTVonline=201856055")</f>
        <v>ICTVonline=201856055</v>
      </c>
      <c r="AA30" s="1">
        <v>201850000</v>
      </c>
      <c r="AB30" s="1">
        <v>34</v>
      </c>
    </row>
    <row r="31" spans="1:28" x14ac:dyDescent="0.15">
      <c r="A31" s="1">
        <v>83</v>
      </c>
      <c r="B31" s="1" t="s">
        <v>7159</v>
      </c>
      <c r="F31" s="1" t="s">
        <v>5617</v>
      </c>
      <c r="G31" s="1" t="s">
        <v>5618</v>
      </c>
      <c r="H31" s="1" t="s">
        <v>5633</v>
      </c>
      <c r="J31" s="1" t="s">
        <v>5634</v>
      </c>
      <c r="L31" s="1" t="s">
        <v>5635</v>
      </c>
      <c r="N31" s="1" t="s">
        <v>5636</v>
      </c>
      <c r="P31" s="1" t="s">
        <v>5651</v>
      </c>
      <c r="Q31" s="3">
        <v>0</v>
      </c>
      <c r="S31" s="23" t="s">
        <v>5949</v>
      </c>
      <c r="T31" s="23" t="s">
        <v>4931</v>
      </c>
      <c r="U31" s="3">
        <v>34</v>
      </c>
      <c r="W31" s="45" t="str">
        <f>HYPERLINK("http://ictvonline.org/taxonomy/p/taxonomy-history?taxnode_id=201856056","ICTVonline=201856056")</f>
        <v>ICTVonline=201856056</v>
      </c>
      <c r="AA31" s="1">
        <v>201850000</v>
      </c>
      <c r="AB31" s="1">
        <v>34</v>
      </c>
    </row>
    <row r="32" spans="1:28" x14ac:dyDescent="0.15">
      <c r="A32" s="1">
        <v>85</v>
      </c>
      <c r="B32" s="1" t="s">
        <v>7159</v>
      </c>
      <c r="F32" s="1" t="s">
        <v>5617</v>
      </c>
      <c r="G32" s="1" t="s">
        <v>5618</v>
      </c>
      <c r="H32" s="1" t="s">
        <v>5633</v>
      </c>
      <c r="J32" s="1" t="s">
        <v>5634</v>
      </c>
      <c r="L32" s="1" t="s">
        <v>5635</v>
      </c>
      <c r="N32" s="1" t="s">
        <v>5636</v>
      </c>
      <c r="P32" s="1" t="s">
        <v>5652</v>
      </c>
      <c r="Q32" s="3">
        <v>0</v>
      </c>
      <c r="S32" s="23" t="s">
        <v>5949</v>
      </c>
      <c r="T32" s="23" t="s">
        <v>4931</v>
      </c>
      <c r="U32" s="3">
        <v>34</v>
      </c>
      <c r="W32" s="45" t="str">
        <f>HYPERLINK("http://ictvonline.org/taxonomy/p/taxonomy-history?taxnode_id=201856057","ICTVonline=201856057")</f>
        <v>ICTVonline=201856057</v>
      </c>
      <c r="AA32" s="1">
        <v>201850000</v>
      </c>
      <c r="AB32" s="1">
        <v>34</v>
      </c>
    </row>
    <row r="33" spans="1:28" x14ac:dyDescent="0.15">
      <c r="A33" s="1">
        <v>87</v>
      </c>
      <c r="B33" s="1" t="s">
        <v>7159</v>
      </c>
      <c r="F33" s="1" t="s">
        <v>5617</v>
      </c>
      <c r="G33" s="1" t="s">
        <v>5618</v>
      </c>
      <c r="H33" s="1" t="s">
        <v>5633</v>
      </c>
      <c r="J33" s="1" t="s">
        <v>5634</v>
      </c>
      <c r="L33" s="1" t="s">
        <v>5635</v>
      </c>
      <c r="N33" s="1" t="s">
        <v>5636</v>
      </c>
      <c r="P33" s="1" t="s">
        <v>5653</v>
      </c>
      <c r="Q33" s="3">
        <v>0</v>
      </c>
      <c r="S33" s="23" t="s">
        <v>5949</v>
      </c>
      <c r="T33" s="23" t="s">
        <v>4931</v>
      </c>
      <c r="U33" s="3">
        <v>34</v>
      </c>
      <c r="W33" s="45" t="str">
        <f>HYPERLINK("http://ictvonline.org/taxonomy/p/taxonomy-history?taxnode_id=201856058","ICTVonline=201856058")</f>
        <v>ICTVonline=201856058</v>
      </c>
      <c r="AA33" s="1">
        <v>201850000</v>
      </c>
      <c r="AB33" s="1">
        <v>34</v>
      </c>
    </row>
    <row r="34" spans="1:28" x14ac:dyDescent="0.15">
      <c r="A34" s="1">
        <v>89</v>
      </c>
      <c r="B34" s="1" t="s">
        <v>7159</v>
      </c>
      <c r="F34" s="1" t="s">
        <v>5617</v>
      </c>
      <c r="G34" s="1" t="s">
        <v>5618</v>
      </c>
      <c r="H34" s="1" t="s">
        <v>5633</v>
      </c>
      <c r="J34" s="1" t="s">
        <v>5634</v>
      </c>
      <c r="L34" s="1" t="s">
        <v>5635</v>
      </c>
      <c r="N34" s="1" t="s">
        <v>5636</v>
      </c>
      <c r="P34" s="1" t="s">
        <v>5654</v>
      </c>
      <c r="Q34" s="3">
        <v>0</v>
      </c>
      <c r="S34" s="23" t="s">
        <v>5949</v>
      </c>
      <c r="T34" s="23" t="s">
        <v>4931</v>
      </c>
      <c r="U34" s="3">
        <v>34</v>
      </c>
      <c r="W34" s="45" t="str">
        <f>HYPERLINK("http://ictvonline.org/taxonomy/p/taxonomy-history?taxnode_id=201856059","ICTVonline=201856059")</f>
        <v>ICTVonline=201856059</v>
      </c>
      <c r="AA34" s="1">
        <v>201850000</v>
      </c>
      <c r="AB34" s="1">
        <v>34</v>
      </c>
    </row>
    <row r="35" spans="1:28" x14ac:dyDescent="0.15">
      <c r="A35" s="1">
        <v>91</v>
      </c>
      <c r="B35" s="1" t="s">
        <v>7159</v>
      </c>
      <c r="F35" s="1" t="s">
        <v>5617</v>
      </c>
      <c r="G35" s="1" t="s">
        <v>5618</v>
      </c>
      <c r="H35" s="1" t="s">
        <v>5633</v>
      </c>
      <c r="J35" s="1" t="s">
        <v>5634</v>
      </c>
      <c r="L35" s="1" t="s">
        <v>5635</v>
      </c>
      <c r="N35" s="1" t="s">
        <v>5636</v>
      </c>
      <c r="P35" s="1" t="s">
        <v>5655</v>
      </c>
      <c r="Q35" s="3">
        <v>0</v>
      </c>
      <c r="S35" s="23" t="s">
        <v>5949</v>
      </c>
      <c r="T35" s="23" t="s">
        <v>4931</v>
      </c>
      <c r="U35" s="3">
        <v>34</v>
      </c>
      <c r="W35" s="45" t="str">
        <f>HYPERLINK("http://ictvonline.org/taxonomy/p/taxonomy-history?taxnode_id=201856060","ICTVonline=201856060")</f>
        <v>ICTVonline=201856060</v>
      </c>
      <c r="AA35" s="1">
        <v>201850000</v>
      </c>
      <c r="AB35" s="1">
        <v>34</v>
      </c>
    </row>
    <row r="36" spans="1:28" x14ac:dyDescent="0.15">
      <c r="A36" s="1">
        <v>93</v>
      </c>
      <c r="B36" s="1" t="s">
        <v>7159</v>
      </c>
      <c r="F36" s="1" t="s">
        <v>5617</v>
      </c>
      <c r="G36" s="1" t="s">
        <v>5618</v>
      </c>
      <c r="H36" s="1" t="s">
        <v>5633</v>
      </c>
      <c r="J36" s="1" t="s">
        <v>5634</v>
      </c>
      <c r="L36" s="1" t="s">
        <v>5635</v>
      </c>
      <c r="N36" s="1" t="s">
        <v>5636</v>
      </c>
      <c r="P36" s="1" t="s">
        <v>5656</v>
      </c>
      <c r="Q36" s="3">
        <v>0</v>
      </c>
      <c r="S36" s="23" t="s">
        <v>5949</v>
      </c>
      <c r="T36" s="23" t="s">
        <v>4931</v>
      </c>
      <c r="U36" s="3">
        <v>34</v>
      </c>
      <c r="W36" s="45" t="str">
        <f>HYPERLINK("http://ictvonline.org/taxonomy/p/taxonomy-history?taxnode_id=201856061","ICTVonline=201856061")</f>
        <v>ICTVonline=201856061</v>
      </c>
      <c r="AA36" s="1">
        <v>201850000</v>
      </c>
      <c r="AB36" s="1">
        <v>34</v>
      </c>
    </row>
    <row r="37" spans="1:28" x14ac:dyDescent="0.15">
      <c r="A37" s="1">
        <v>95</v>
      </c>
      <c r="B37" s="1" t="s">
        <v>7159</v>
      </c>
      <c r="F37" s="1" t="s">
        <v>5617</v>
      </c>
      <c r="G37" s="1" t="s">
        <v>5618</v>
      </c>
      <c r="H37" s="1" t="s">
        <v>5633</v>
      </c>
      <c r="J37" s="1" t="s">
        <v>5634</v>
      </c>
      <c r="L37" s="1" t="s">
        <v>5635</v>
      </c>
      <c r="N37" s="1" t="s">
        <v>5636</v>
      </c>
      <c r="P37" s="1" t="s">
        <v>5657</v>
      </c>
      <c r="Q37" s="3">
        <v>0</v>
      </c>
      <c r="S37" s="23" t="s">
        <v>5949</v>
      </c>
      <c r="T37" s="23" t="s">
        <v>4931</v>
      </c>
      <c r="U37" s="3">
        <v>34</v>
      </c>
      <c r="W37" s="45" t="str">
        <f>HYPERLINK("http://ictvonline.org/taxonomy/p/taxonomy-history?taxnode_id=201856062","ICTVonline=201856062")</f>
        <v>ICTVonline=201856062</v>
      </c>
      <c r="AA37" s="1">
        <v>201850000</v>
      </c>
      <c r="AB37" s="1">
        <v>34</v>
      </c>
    </row>
    <row r="38" spans="1:28" x14ac:dyDescent="0.15">
      <c r="A38" s="1">
        <v>97</v>
      </c>
      <c r="B38" s="1" t="s">
        <v>7159</v>
      </c>
      <c r="F38" s="1" t="s">
        <v>5617</v>
      </c>
      <c r="G38" s="1" t="s">
        <v>5618</v>
      </c>
      <c r="H38" s="1" t="s">
        <v>5633</v>
      </c>
      <c r="J38" s="1" t="s">
        <v>5634</v>
      </c>
      <c r="L38" s="1" t="s">
        <v>5635</v>
      </c>
      <c r="N38" s="1" t="s">
        <v>5636</v>
      </c>
      <c r="P38" s="1" t="s">
        <v>5658</v>
      </c>
      <c r="Q38" s="3">
        <v>0</v>
      </c>
      <c r="S38" s="23" t="s">
        <v>5949</v>
      </c>
      <c r="T38" s="23" t="s">
        <v>4931</v>
      </c>
      <c r="U38" s="3">
        <v>34</v>
      </c>
      <c r="W38" s="45" t="str">
        <f>HYPERLINK("http://ictvonline.org/taxonomy/p/taxonomy-history?taxnode_id=201856063","ICTVonline=201856063")</f>
        <v>ICTVonline=201856063</v>
      </c>
      <c r="AA38" s="1">
        <v>201850000</v>
      </c>
      <c r="AB38" s="1">
        <v>34</v>
      </c>
    </row>
    <row r="39" spans="1:28" x14ac:dyDescent="0.15">
      <c r="A39" s="1">
        <v>99</v>
      </c>
      <c r="B39" s="1" t="s">
        <v>7159</v>
      </c>
      <c r="F39" s="1" t="s">
        <v>5617</v>
      </c>
      <c r="G39" s="1" t="s">
        <v>5618</v>
      </c>
      <c r="H39" s="1" t="s">
        <v>5633</v>
      </c>
      <c r="J39" s="1" t="s">
        <v>5634</v>
      </c>
      <c r="L39" s="1" t="s">
        <v>5635</v>
      </c>
      <c r="N39" s="1" t="s">
        <v>5636</v>
      </c>
      <c r="P39" s="1" t="s">
        <v>5659</v>
      </c>
      <c r="Q39" s="3">
        <v>0</v>
      </c>
      <c r="S39" s="23" t="s">
        <v>5949</v>
      </c>
      <c r="T39" s="23" t="s">
        <v>4931</v>
      </c>
      <c r="U39" s="3">
        <v>34</v>
      </c>
      <c r="W39" s="45" t="str">
        <f>HYPERLINK("http://ictvonline.org/taxonomy/p/taxonomy-history?taxnode_id=201856064","ICTVonline=201856064")</f>
        <v>ICTVonline=201856064</v>
      </c>
      <c r="AA39" s="1">
        <v>201850000</v>
      </c>
      <c r="AB39" s="1">
        <v>34</v>
      </c>
    </row>
    <row r="40" spans="1:28" x14ac:dyDescent="0.15">
      <c r="A40" s="1">
        <v>101</v>
      </c>
      <c r="B40" s="1" t="s">
        <v>7159</v>
      </c>
      <c r="F40" s="1" t="s">
        <v>5617</v>
      </c>
      <c r="G40" s="1" t="s">
        <v>5618</v>
      </c>
      <c r="H40" s="1" t="s">
        <v>5633</v>
      </c>
      <c r="J40" s="1" t="s">
        <v>5634</v>
      </c>
      <c r="L40" s="1" t="s">
        <v>5635</v>
      </c>
      <c r="N40" s="1" t="s">
        <v>5636</v>
      </c>
      <c r="P40" s="1" t="s">
        <v>5660</v>
      </c>
      <c r="Q40" s="3">
        <v>0</v>
      </c>
      <c r="S40" s="23" t="s">
        <v>5949</v>
      </c>
      <c r="T40" s="23" t="s">
        <v>4931</v>
      </c>
      <c r="U40" s="3">
        <v>34</v>
      </c>
      <c r="W40" s="45" t="str">
        <f>HYPERLINK("http://ictvonline.org/taxonomy/p/taxonomy-history?taxnode_id=201856065","ICTVonline=201856065")</f>
        <v>ICTVonline=201856065</v>
      </c>
      <c r="AA40" s="1">
        <v>201850000</v>
      </c>
      <c r="AB40" s="1">
        <v>34</v>
      </c>
    </row>
    <row r="41" spans="1:28" x14ac:dyDescent="0.15">
      <c r="A41" s="1">
        <v>103</v>
      </c>
      <c r="B41" s="1" t="s">
        <v>7159</v>
      </c>
      <c r="F41" s="1" t="s">
        <v>5617</v>
      </c>
      <c r="G41" s="1" t="s">
        <v>5618</v>
      </c>
      <c r="H41" s="1" t="s">
        <v>5633</v>
      </c>
      <c r="J41" s="1" t="s">
        <v>5634</v>
      </c>
      <c r="L41" s="1" t="s">
        <v>5635</v>
      </c>
      <c r="N41" s="1" t="s">
        <v>5636</v>
      </c>
      <c r="P41" s="1" t="s">
        <v>5661</v>
      </c>
      <c r="Q41" s="3">
        <v>0</v>
      </c>
      <c r="S41" s="23" t="s">
        <v>5949</v>
      </c>
      <c r="T41" s="23" t="s">
        <v>4931</v>
      </c>
      <c r="U41" s="3">
        <v>34</v>
      </c>
      <c r="W41" s="45" t="str">
        <f>HYPERLINK("http://ictvonline.org/taxonomy/p/taxonomy-history?taxnode_id=201856066","ICTVonline=201856066")</f>
        <v>ICTVonline=201856066</v>
      </c>
      <c r="AA41" s="1">
        <v>201850000</v>
      </c>
      <c r="AB41" s="1">
        <v>34</v>
      </c>
    </row>
    <row r="42" spans="1:28" x14ac:dyDescent="0.15">
      <c r="A42" s="1">
        <v>105</v>
      </c>
      <c r="B42" s="1" t="s">
        <v>7159</v>
      </c>
      <c r="F42" s="1" t="s">
        <v>5617</v>
      </c>
      <c r="G42" s="1" t="s">
        <v>5618</v>
      </c>
      <c r="H42" s="1" t="s">
        <v>5633</v>
      </c>
      <c r="J42" s="1" t="s">
        <v>5634</v>
      </c>
      <c r="L42" s="1" t="s">
        <v>5635</v>
      </c>
      <c r="N42" s="1" t="s">
        <v>5636</v>
      </c>
      <c r="P42" s="1" t="s">
        <v>5662</v>
      </c>
      <c r="Q42" s="3">
        <v>0</v>
      </c>
      <c r="S42" s="23" t="s">
        <v>5949</v>
      </c>
      <c r="T42" s="23" t="s">
        <v>4931</v>
      </c>
      <c r="U42" s="3">
        <v>34</v>
      </c>
      <c r="W42" s="45" t="str">
        <f>HYPERLINK("http://ictvonline.org/taxonomy/p/taxonomy-history?taxnode_id=201856067","ICTVonline=201856067")</f>
        <v>ICTVonline=201856067</v>
      </c>
      <c r="AA42" s="1">
        <v>201850000</v>
      </c>
      <c r="AB42" s="1">
        <v>34</v>
      </c>
    </row>
    <row r="43" spans="1:28" x14ac:dyDescent="0.15">
      <c r="A43" s="1">
        <v>107</v>
      </c>
      <c r="B43" s="1" t="s">
        <v>7159</v>
      </c>
      <c r="F43" s="1" t="s">
        <v>5617</v>
      </c>
      <c r="G43" s="1" t="s">
        <v>5618</v>
      </c>
      <c r="H43" s="1" t="s">
        <v>5633</v>
      </c>
      <c r="J43" s="1" t="s">
        <v>5634</v>
      </c>
      <c r="L43" s="1" t="s">
        <v>5635</v>
      </c>
      <c r="N43" s="1" t="s">
        <v>5636</v>
      </c>
      <c r="P43" s="1" t="s">
        <v>5663</v>
      </c>
      <c r="Q43" s="3">
        <v>0</v>
      </c>
      <c r="S43" s="23" t="s">
        <v>5949</v>
      </c>
      <c r="T43" s="23" t="s">
        <v>4931</v>
      </c>
      <c r="U43" s="3">
        <v>34</v>
      </c>
      <c r="W43" s="45" t="str">
        <f>HYPERLINK("http://ictvonline.org/taxonomy/p/taxonomy-history?taxnode_id=201856068","ICTVonline=201856068")</f>
        <v>ICTVonline=201856068</v>
      </c>
      <c r="AA43" s="1">
        <v>201850000</v>
      </c>
      <c r="AB43" s="1">
        <v>34</v>
      </c>
    </row>
    <row r="44" spans="1:28" x14ac:dyDescent="0.15">
      <c r="A44" s="1">
        <v>109</v>
      </c>
      <c r="B44" s="1" t="s">
        <v>7159</v>
      </c>
      <c r="F44" s="1" t="s">
        <v>5617</v>
      </c>
      <c r="G44" s="1" t="s">
        <v>5618</v>
      </c>
      <c r="H44" s="1" t="s">
        <v>5633</v>
      </c>
      <c r="J44" s="1" t="s">
        <v>5634</v>
      </c>
      <c r="L44" s="1" t="s">
        <v>5635</v>
      </c>
      <c r="N44" s="1" t="s">
        <v>5636</v>
      </c>
      <c r="P44" s="1" t="s">
        <v>5664</v>
      </c>
      <c r="Q44" s="3">
        <v>0</v>
      </c>
      <c r="S44" s="23" t="s">
        <v>5949</v>
      </c>
      <c r="T44" s="23" t="s">
        <v>4931</v>
      </c>
      <c r="U44" s="3">
        <v>34</v>
      </c>
      <c r="W44" s="45" t="str">
        <f>HYPERLINK("http://ictvonline.org/taxonomy/p/taxonomy-history?taxnode_id=201856069","ICTVonline=201856069")</f>
        <v>ICTVonline=201856069</v>
      </c>
      <c r="AA44" s="1">
        <v>201850000</v>
      </c>
      <c r="AB44" s="1">
        <v>34</v>
      </c>
    </row>
    <row r="45" spans="1:28" x14ac:dyDescent="0.15">
      <c r="A45" s="1">
        <v>111</v>
      </c>
      <c r="B45" s="1" t="s">
        <v>7159</v>
      </c>
      <c r="F45" s="1" t="s">
        <v>5617</v>
      </c>
      <c r="G45" s="1" t="s">
        <v>5618</v>
      </c>
      <c r="H45" s="1" t="s">
        <v>5633</v>
      </c>
      <c r="J45" s="1" t="s">
        <v>5634</v>
      </c>
      <c r="L45" s="1" t="s">
        <v>5635</v>
      </c>
      <c r="N45" s="1" t="s">
        <v>5636</v>
      </c>
      <c r="P45" s="1" t="s">
        <v>5665</v>
      </c>
      <c r="Q45" s="3">
        <v>0</v>
      </c>
      <c r="S45" s="23" t="s">
        <v>5949</v>
      </c>
      <c r="T45" s="23" t="s">
        <v>4931</v>
      </c>
      <c r="U45" s="3">
        <v>34</v>
      </c>
      <c r="W45" s="45" t="str">
        <f>HYPERLINK("http://ictvonline.org/taxonomy/p/taxonomy-history?taxnode_id=201856070","ICTVonline=201856070")</f>
        <v>ICTVonline=201856070</v>
      </c>
      <c r="AA45" s="1">
        <v>201850000</v>
      </c>
      <c r="AB45" s="1">
        <v>34</v>
      </c>
    </row>
    <row r="46" spans="1:28" x14ac:dyDescent="0.15">
      <c r="A46" s="1">
        <v>119</v>
      </c>
      <c r="B46" s="1" t="s">
        <v>7159</v>
      </c>
      <c r="F46" s="1" t="s">
        <v>5617</v>
      </c>
      <c r="G46" s="1" t="s">
        <v>5618</v>
      </c>
      <c r="H46" s="1" t="s">
        <v>5633</v>
      </c>
      <c r="J46" s="1" t="s">
        <v>1005</v>
      </c>
      <c r="L46" s="1" t="s">
        <v>5666</v>
      </c>
      <c r="N46" s="1" t="s">
        <v>4516</v>
      </c>
      <c r="P46" s="1" t="s">
        <v>5667</v>
      </c>
      <c r="Q46" s="3">
        <v>0</v>
      </c>
      <c r="S46" s="23" t="s">
        <v>5949</v>
      </c>
      <c r="T46" s="23" t="s">
        <v>4931</v>
      </c>
      <c r="U46" s="3">
        <v>34</v>
      </c>
      <c r="W46" s="45" t="str">
        <f>HYPERLINK("http://ictvonline.org/taxonomy/p/taxonomy-history?taxnode_id=201856269","ICTVonline=201856269")</f>
        <v>ICTVonline=201856269</v>
      </c>
      <c r="AA46" s="1">
        <v>201850000</v>
      </c>
      <c r="AB46" s="1">
        <v>34</v>
      </c>
    </row>
    <row r="47" spans="1:28" x14ac:dyDescent="0.15">
      <c r="A47" s="1">
        <v>121</v>
      </c>
      <c r="B47" s="1" t="s">
        <v>7159</v>
      </c>
      <c r="F47" s="1" t="s">
        <v>5617</v>
      </c>
      <c r="G47" s="1" t="s">
        <v>5618</v>
      </c>
      <c r="H47" s="1" t="s">
        <v>5633</v>
      </c>
      <c r="J47" s="1" t="s">
        <v>1005</v>
      </c>
      <c r="L47" s="1" t="s">
        <v>5666</v>
      </c>
      <c r="N47" s="1" t="s">
        <v>4516</v>
      </c>
      <c r="P47" s="1" t="s">
        <v>5668</v>
      </c>
      <c r="Q47" s="3">
        <v>0</v>
      </c>
      <c r="S47" s="23" t="s">
        <v>5949</v>
      </c>
      <c r="T47" s="23" t="s">
        <v>4931</v>
      </c>
      <c r="U47" s="3">
        <v>34</v>
      </c>
      <c r="W47" s="45" t="str">
        <f>HYPERLINK("http://ictvonline.org/taxonomy/p/taxonomy-history?taxnode_id=201856272","ICTVonline=201856272")</f>
        <v>ICTVonline=201856272</v>
      </c>
      <c r="AA47" s="1">
        <v>201850000</v>
      </c>
      <c r="AB47" s="1">
        <v>34</v>
      </c>
    </row>
    <row r="48" spans="1:28" x14ac:dyDescent="0.15">
      <c r="A48" s="1">
        <v>123</v>
      </c>
      <c r="B48" s="1" t="s">
        <v>7159</v>
      </c>
      <c r="F48" s="1" t="s">
        <v>5617</v>
      </c>
      <c r="G48" s="1" t="s">
        <v>5618</v>
      </c>
      <c r="H48" s="1" t="s">
        <v>5633</v>
      </c>
      <c r="J48" s="1" t="s">
        <v>1005</v>
      </c>
      <c r="L48" s="1" t="s">
        <v>5666</v>
      </c>
      <c r="N48" s="1" t="s">
        <v>4516</v>
      </c>
      <c r="P48" s="1" t="s">
        <v>5669</v>
      </c>
      <c r="Q48" s="3">
        <v>0</v>
      </c>
      <c r="S48" s="23" t="s">
        <v>5949</v>
      </c>
      <c r="T48" s="23" t="s">
        <v>4931</v>
      </c>
      <c r="U48" s="3">
        <v>34</v>
      </c>
      <c r="W48" s="45" t="str">
        <f>HYPERLINK("http://ictvonline.org/taxonomy/p/taxonomy-history?taxnode_id=201856271","ICTVonline=201856271")</f>
        <v>ICTVonline=201856271</v>
      </c>
      <c r="AA48" s="1">
        <v>201850000</v>
      </c>
      <c r="AB48" s="1">
        <v>34</v>
      </c>
    </row>
    <row r="49" spans="1:28" x14ac:dyDescent="0.15">
      <c r="A49" s="1">
        <v>125</v>
      </c>
      <c r="B49" s="1" t="s">
        <v>7159</v>
      </c>
      <c r="F49" s="1" t="s">
        <v>5617</v>
      </c>
      <c r="G49" s="1" t="s">
        <v>5618</v>
      </c>
      <c r="H49" s="1" t="s">
        <v>5633</v>
      </c>
      <c r="J49" s="1" t="s">
        <v>1005</v>
      </c>
      <c r="L49" s="1" t="s">
        <v>5666</v>
      </c>
      <c r="N49" s="1" t="s">
        <v>4516</v>
      </c>
      <c r="P49" s="1" t="s">
        <v>5670</v>
      </c>
      <c r="Q49" s="3">
        <v>0</v>
      </c>
      <c r="S49" s="23" t="s">
        <v>5949</v>
      </c>
      <c r="T49" s="23" t="s">
        <v>4931</v>
      </c>
      <c r="U49" s="3">
        <v>34</v>
      </c>
      <c r="W49" s="45" t="str">
        <f>HYPERLINK("http://ictvonline.org/taxonomy/p/taxonomy-history?taxnode_id=201856270","ICTVonline=201856270")</f>
        <v>ICTVonline=201856270</v>
      </c>
      <c r="AA49" s="1">
        <v>201850000</v>
      </c>
      <c r="AB49" s="1">
        <v>34</v>
      </c>
    </row>
    <row r="50" spans="1:28" x14ac:dyDescent="0.15">
      <c r="A50" s="1">
        <v>127</v>
      </c>
      <c r="B50" s="1" t="s">
        <v>7159</v>
      </c>
      <c r="F50" s="1" t="s">
        <v>5617</v>
      </c>
      <c r="G50" s="1" t="s">
        <v>5618</v>
      </c>
      <c r="H50" s="1" t="s">
        <v>5633</v>
      </c>
      <c r="J50" s="1" t="s">
        <v>1005</v>
      </c>
      <c r="L50" s="1" t="s">
        <v>5666</v>
      </c>
      <c r="N50" s="1" t="s">
        <v>4516</v>
      </c>
      <c r="P50" s="1" t="s">
        <v>5671</v>
      </c>
      <c r="Q50" s="3">
        <v>0</v>
      </c>
      <c r="S50" s="23" t="s">
        <v>5949</v>
      </c>
      <c r="T50" s="23" t="s">
        <v>4931</v>
      </c>
      <c r="U50" s="3">
        <v>34</v>
      </c>
      <c r="W50" s="45" t="str">
        <f>HYPERLINK("http://ictvonline.org/taxonomy/p/taxonomy-history?taxnode_id=201856274","ICTVonline=201856274")</f>
        <v>ICTVonline=201856274</v>
      </c>
      <c r="AA50" s="1">
        <v>201850000</v>
      </c>
      <c r="AB50" s="1">
        <v>34</v>
      </c>
    </row>
    <row r="51" spans="1:28" x14ac:dyDescent="0.15">
      <c r="A51" s="1">
        <v>129</v>
      </c>
      <c r="B51" s="1" t="s">
        <v>7159</v>
      </c>
      <c r="F51" s="1" t="s">
        <v>5617</v>
      </c>
      <c r="G51" s="1" t="s">
        <v>5618</v>
      </c>
      <c r="H51" s="1" t="s">
        <v>5633</v>
      </c>
      <c r="J51" s="1" t="s">
        <v>1005</v>
      </c>
      <c r="L51" s="1" t="s">
        <v>5666</v>
      </c>
      <c r="N51" s="1" t="s">
        <v>4516</v>
      </c>
      <c r="P51" s="1" t="s">
        <v>4517</v>
      </c>
      <c r="Q51" s="3">
        <v>1</v>
      </c>
      <c r="S51" s="23" t="s">
        <v>5949</v>
      </c>
      <c r="T51" s="23" t="s">
        <v>4931</v>
      </c>
      <c r="U51" s="3">
        <v>34</v>
      </c>
      <c r="W51" s="45" t="str">
        <f>HYPERLINK("http://ictvonline.org/taxonomy/p/taxonomy-history?taxnode_id=201851583","ICTVonline=201851583")</f>
        <v>ICTVonline=201851583</v>
      </c>
      <c r="AA51" s="1">
        <v>201850000</v>
      </c>
      <c r="AB51" s="1">
        <v>34</v>
      </c>
    </row>
    <row r="52" spans="1:28" x14ac:dyDescent="0.15">
      <c r="A52" s="1">
        <v>131</v>
      </c>
      <c r="B52" s="1" t="s">
        <v>7159</v>
      </c>
      <c r="F52" s="1" t="s">
        <v>5617</v>
      </c>
      <c r="G52" s="1" t="s">
        <v>5618</v>
      </c>
      <c r="H52" s="1" t="s">
        <v>5633</v>
      </c>
      <c r="J52" s="1" t="s">
        <v>1005</v>
      </c>
      <c r="L52" s="1" t="s">
        <v>5666</v>
      </c>
      <c r="N52" s="1" t="s">
        <v>4516</v>
      </c>
      <c r="P52" s="1" t="s">
        <v>5672</v>
      </c>
      <c r="Q52" s="3">
        <v>0</v>
      </c>
      <c r="S52" s="23" t="s">
        <v>5949</v>
      </c>
      <c r="T52" s="23" t="s">
        <v>4931</v>
      </c>
      <c r="U52" s="3">
        <v>34</v>
      </c>
      <c r="W52" s="45" t="str">
        <f>HYPERLINK("http://ictvonline.org/taxonomy/p/taxonomy-history?taxnode_id=201856273","ICTVonline=201856273")</f>
        <v>ICTVonline=201856273</v>
      </c>
      <c r="AA52" s="1">
        <v>201850000</v>
      </c>
      <c r="AB52" s="1">
        <v>34</v>
      </c>
    </row>
    <row r="53" spans="1:28" x14ac:dyDescent="0.15">
      <c r="A53" s="1">
        <v>137</v>
      </c>
      <c r="B53" s="1" t="s">
        <v>7159</v>
      </c>
      <c r="F53" s="1" t="s">
        <v>5617</v>
      </c>
      <c r="G53" s="1" t="s">
        <v>5618</v>
      </c>
      <c r="H53" s="1" t="s">
        <v>5633</v>
      </c>
      <c r="J53" s="1" t="s">
        <v>1005</v>
      </c>
      <c r="L53" s="1" t="s">
        <v>1404</v>
      </c>
      <c r="N53" s="1" t="s">
        <v>5098</v>
      </c>
      <c r="P53" s="1" t="s">
        <v>5099</v>
      </c>
      <c r="Q53" s="3">
        <v>1</v>
      </c>
      <c r="S53" s="23" t="s">
        <v>5949</v>
      </c>
      <c r="T53" s="23" t="s">
        <v>4931</v>
      </c>
      <c r="U53" s="3">
        <v>34</v>
      </c>
      <c r="W53" s="45" t="str">
        <f>HYPERLINK("http://ictvonline.org/taxonomy/p/taxonomy-history?taxnode_id=201855571","ICTVonline=201855571")</f>
        <v>ICTVonline=201855571</v>
      </c>
      <c r="AA53" s="1">
        <v>201850000</v>
      </c>
      <c r="AB53" s="1">
        <v>34</v>
      </c>
    </row>
    <row r="54" spans="1:28" x14ac:dyDescent="0.15">
      <c r="A54" s="1">
        <v>139</v>
      </c>
      <c r="B54" s="1" t="s">
        <v>7159</v>
      </c>
      <c r="F54" s="1" t="s">
        <v>5617</v>
      </c>
      <c r="G54" s="1" t="s">
        <v>5618</v>
      </c>
      <c r="H54" s="1" t="s">
        <v>5633</v>
      </c>
      <c r="J54" s="1" t="s">
        <v>1005</v>
      </c>
      <c r="L54" s="1" t="s">
        <v>1404</v>
      </c>
      <c r="N54" s="1" t="s">
        <v>5098</v>
      </c>
      <c r="P54" s="1" t="s">
        <v>5100</v>
      </c>
      <c r="Q54" s="3">
        <v>0</v>
      </c>
      <c r="S54" s="23" t="s">
        <v>5949</v>
      </c>
      <c r="T54" s="23" t="s">
        <v>4931</v>
      </c>
      <c r="U54" s="3">
        <v>34</v>
      </c>
      <c r="W54" s="45" t="str">
        <f>HYPERLINK("http://ictvonline.org/taxonomy/p/taxonomy-history?taxnode_id=201855572","ICTVonline=201855572")</f>
        <v>ICTVonline=201855572</v>
      </c>
      <c r="AA54" s="1">
        <v>201850000</v>
      </c>
      <c r="AB54" s="1">
        <v>34</v>
      </c>
    </row>
    <row r="55" spans="1:28" x14ac:dyDescent="0.15">
      <c r="A55" s="1">
        <v>143</v>
      </c>
      <c r="B55" s="1" t="s">
        <v>7159</v>
      </c>
      <c r="F55" s="1" t="s">
        <v>5617</v>
      </c>
      <c r="G55" s="1" t="s">
        <v>5618</v>
      </c>
      <c r="H55" s="1" t="s">
        <v>5633</v>
      </c>
      <c r="J55" s="1" t="s">
        <v>1005</v>
      </c>
      <c r="L55" s="1" t="s">
        <v>1404</v>
      </c>
      <c r="N55" s="1" t="s">
        <v>5950</v>
      </c>
      <c r="P55" s="1" t="s">
        <v>5951</v>
      </c>
      <c r="Q55" s="3">
        <v>1</v>
      </c>
      <c r="S55" s="23" t="s">
        <v>5949</v>
      </c>
      <c r="T55" s="23" t="s">
        <v>4929</v>
      </c>
      <c r="U55" s="3">
        <v>34</v>
      </c>
      <c r="V55" s="3" t="s">
        <v>5952</v>
      </c>
      <c r="W55" s="45" t="str">
        <f>HYPERLINK("http://ictvonline.org/taxonomy/p/taxonomy-history?taxnode_id=201856589","ICTVonline=201856589")</f>
        <v>ICTVonline=201856589</v>
      </c>
      <c r="AA55" s="1">
        <v>201850000</v>
      </c>
      <c r="AB55" s="1">
        <v>34</v>
      </c>
    </row>
    <row r="56" spans="1:28" x14ac:dyDescent="0.15">
      <c r="A56" s="1">
        <v>147</v>
      </c>
      <c r="B56" s="1" t="s">
        <v>7159</v>
      </c>
      <c r="F56" s="1" t="s">
        <v>5617</v>
      </c>
      <c r="G56" s="1" t="s">
        <v>5618</v>
      </c>
      <c r="H56" s="1" t="s">
        <v>5633</v>
      </c>
      <c r="J56" s="1" t="s">
        <v>1005</v>
      </c>
      <c r="L56" s="1" t="s">
        <v>1404</v>
      </c>
      <c r="N56" s="1" t="s">
        <v>5101</v>
      </c>
      <c r="P56" s="1" t="s">
        <v>5102</v>
      </c>
      <c r="Q56" s="3">
        <v>0</v>
      </c>
      <c r="S56" s="23" t="s">
        <v>5949</v>
      </c>
      <c r="T56" s="23" t="s">
        <v>4931</v>
      </c>
      <c r="U56" s="3">
        <v>34</v>
      </c>
      <c r="W56" s="45" t="str">
        <f>HYPERLINK("http://ictvonline.org/taxonomy/p/taxonomy-history?taxnode_id=201851552","ICTVonline=201851552")</f>
        <v>ICTVonline=201851552</v>
      </c>
      <c r="AA56" s="1">
        <v>201850000</v>
      </c>
      <c r="AB56" s="1">
        <v>34</v>
      </c>
    </row>
    <row r="57" spans="1:28" x14ac:dyDescent="0.15">
      <c r="A57" s="1">
        <v>149</v>
      </c>
      <c r="B57" s="1" t="s">
        <v>7159</v>
      </c>
      <c r="F57" s="1" t="s">
        <v>5617</v>
      </c>
      <c r="G57" s="1" t="s">
        <v>5618</v>
      </c>
      <c r="H57" s="1" t="s">
        <v>5633</v>
      </c>
      <c r="J57" s="1" t="s">
        <v>1005</v>
      </c>
      <c r="L57" s="1" t="s">
        <v>1404</v>
      </c>
      <c r="N57" s="1" t="s">
        <v>5101</v>
      </c>
      <c r="P57" s="1" t="s">
        <v>5103</v>
      </c>
      <c r="Q57" s="3">
        <v>1</v>
      </c>
      <c r="S57" s="23" t="s">
        <v>5949</v>
      </c>
      <c r="T57" s="23" t="s">
        <v>4931</v>
      </c>
      <c r="U57" s="3">
        <v>34</v>
      </c>
      <c r="W57" s="45" t="str">
        <f>HYPERLINK("http://ictvonline.org/taxonomy/p/taxonomy-history?taxnode_id=201851553","ICTVonline=201851553")</f>
        <v>ICTVonline=201851553</v>
      </c>
      <c r="AA57" s="1">
        <v>201850000</v>
      </c>
      <c r="AB57" s="1">
        <v>34</v>
      </c>
    </row>
    <row r="58" spans="1:28" x14ac:dyDescent="0.15">
      <c r="A58" s="1">
        <v>151</v>
      </c>
      <c r="B58" s="1" t="s">
        <v>7159</v>
      </c>
      <c r="F58" s="1" t="s">
        <v>5617</v>
      </c>
      <c r="G58" s="1" t="s">
        <v>5618</v>
      </c>
      <c r="H58" s="1" t="s">
        <v>5633</v>
      </c>
      <c r="J58" s="1" t="s">
        <v>1005</v>
      </c>
      <c r="L58" s="1" t="s">
        <v>1404</v>
      </c>
      <c r="N58" s="1" t="s">
        <v>5101</v>
      </c>
      <c r="P58" s="1" t="s">
        <v>5104</v>
      </c>
      <c r="Q58" s="3">
        <v>0</v>
      </c>
      <c r="S58" s="23" t="s">
        <v>5949</v>
      </c>
      <c r="T58" s="23" t="s">
        <v>4931</v>
      </c>
      <c r="U58" s="3">
        <v>34</v>
      </c>
      <c r="W58" s="45" t="str">
        <f>HYPERLINK("http://ictvonline.org/taxonomy/p/taxonomy-history?taxnode_id=201851554","ICTVonline=201851554")</f>
        <v>ICTVonline=201851554</v>
      </c>
      <c r="AA58" s="1">
        <v>201850000</v>
      </c>
      <c r="AB58" s="1">
        <v>34</v>
      </c>
    </row>
    <row r="59" spans="1:28" x14ac:dyDescent="0.15">
      <c r="A59" s="1">
        <v>153</v>
      </c>
      <c r="B59" s="1" t="s">
        <v>7159</v>
      </c>
      <c r="F59" s="1" t="s">
        <v>5617</v>
      </c>
      <c r="G59" s="1" t="s">
        <v>5618</v>
      </c>
      <c r="H59" s="1" t="s">
        <v>5633</v>
      </c>
      <c r="J59" s="1" t="s">
        <v>1005</v>
      </c>
      <c r="L59" s="1" t="s">
        <v>1404</v>
      </c>
      <c r="N59" s="1" t="s">
        <v>5101</v>
      </c>
      <c r="P59" s="1" t="s">
        <v>5105</v>
      </c>
      <c r="Q59" s="3">
        <v>0</v>
      </c>
      <c r="S59" s="23" t="s">
        <v>5949</v>
      </c>
      <c r="T59" s="23" t="s">
        <v>4931</v>
      </c>
      <c r="U59" s="3">
        <v>34</v>
      </c>
      <c r="W59" s="45" t="str">
        <f>HYPERLINK("http://ictvonline.org/taxonomy/p/taxonomy-history?taxnode_id=201851555","ICTVonline=201851555")</f>
        <v>ICTVonline=201851555</v>
      </c>
      <c r="AA59" s="1">
        <v>201850000</v>
      </c>
      <c r="AB59" s="1">
        <v>34</v>
      </c>
    </row>
    <row r="60" spans="1:28" x14ac:dyDescent="0.15">
      <c r="A60" s="1">
        <v>155</v>
      </c>
      <c r="B60" s="1" t="s">
        <v>7159</v>
      </c>
      <c r="F60" s="1" t="s">
        <v>5617</v>
      </c>
      <c r="G60" s="1" t="s">
        <v>5618</v>
      </c>
      <c r="H60" s="1" t="s">
        <v>5633</v>
      </c>
      <c r="J60" s="1" t="s">
        <v>1005</v>
      </c>
      <c r="L60" s="1" t="s">
        <v>1404</v>
      </c>
      <c r="N60" s="1" t="s">
        <v>5101</v>
      </c>
      <c r="P60" s="1" t="s">
        <v>5106</v>
      </c>
      <c r="Q60" s="3">
        <v>0</v>
      </c>
      <c r="S60" s="23" t="s">
        <v>5949</v>
      </c>
      <c r="T60" s="23" t="s">
        <v>4931</v>
      </c>
      <c r="U60" s="3">
        <v>34</v>
      </c>
      <c r="W60" s="45" t="str">
        <f>HYPERLINK("http://ictvonline.org/taxonomy/p/taxonomy-history?taxnode_id=201851556","ICTVonline=201851556")</f>
        <v>ICTVonline=201851556</v>
      </c>
      <c r="AA60" s="1">
        <v>201850000</v>
      </c>
      <c r="AB60" s="1">
        <v>34</v>
      </c>
    </row>
    <row r="61" spans="1:28" x14ac:dyDescent="0.15">
      <c r="A61" s="1">
        <v>157</v>
      </c>
      <c r="B61" s="1" t="s">
        <v>7159</v>
      </c>
      <c r="F61" s="1" t="s">
        <v>5617</v>
      </c>
      <c r="G61" s="1" t="s">
        <v>5618</v>
      </c>
      <c r="H61" s="1" t="s">
        <v>5633</v>
      </c>
      <c r="J61" s="1" t="s">
        <v>1005</v>
      </c>
      <c r="L61" s="1" t="s">
        <v>1404</v>
      </c>
      <c r="N61" s="1" t="s">
        <v>5101</v>
      </c>
      <c r="P61" s="1" t="s">
        <v>5107</v>
      </c>
      <c r="Q61" s="3">
        <v>0</v>
      </c>
      <c r="S61" s="23" t="s">
        <v>5949</v>
      </c>
      <c r="T61" s="23" t="s">
        <v>4931</v>
      </c>
      <c r="U61" s="3">
        <v>34</v>
      </c>
      <c r="W61" s="45" t="str">
        <f>HYPERLINK("http://ictvonline.org/taxonomy/p/taxonomy-history?taxnode_id=201851557","ICTVonline=201851557")</f>
        <v>ICTVonline=201851557</v>
      </c>
      <c r="AA61" s="1">
        <v>201850000</v>
      </c>
      <c r="AB61" s="1">
        <v>34</v>
      </c>
    </row>
    <row r="62" spans="1:28" x14ac:dyDescent="0.15">
      <c r="A62" s="1">
        <v>159</v>
      </c>
      <c r="B62" s="1" t="s">
        <v>7159</v>
      </c>
      <c r="F62" s="1" t="s">
        <v>5617</v>
      </c>
      <c r="G62" s="1" t="s">
        <v>5618</v>
      </c>
      <c r="H62" s="1" t="s">
        <v>5633</v>
      </c>
      <c r="J62" s="1" t="s">
        <v>1005</v>
      </c>
      <c r="L62" s="1" t="s">
        <v>1404</v>
      </c>
      <c r="N62" s="1" t="s">
        <v>5101</v>
      </c>
      <c r="P62" s="1" t="s">
        <v>5108</v>
      </c>
      <c r="Q62" s="3">
        <v>0</v>
      </c>
      <c r="S62" s="23" t="s">
        <v>5949</v>
      </c>
      <c r="T62" s="23" t="s">
        <v>4931</v>
      </c>
      <c r="U62" s="3">
        <v>34</v>
      </c>
      <c r="W62" s="45" t="str">
        <f>HYPERLINK("http://ictvonline.org/taxonomy/p/taxonomy-history?taxnode_id=201851558","ICTVonline=201851558")</f>
        <v>ICTVonline=201851558</v>
      </c>
      <c r="AA62" s="1">
        <v>201850000</v>
      </c>
      <c r="AB62" s="1">
        <v>34</v>
      </c>
    </row>
    <row r="63" spans="1:28" x14ac:dyDescent="0.15">
      <c r="A63" s="1">
        <v>161</v>
      </c>
      <c r="B63" s="1" t="s">
        <v>7159</v>
      </c>
      <c r="F63" s="1" t="s">
        <v>5617</v>
      </c>
      <c r="G63" s="1" t="s">
        <v>5618</v>
      </c>
      <c r="H63" s="1" t="s">
        <v>5633</v>
      </c>
      <c r="J63" s="1" t="s">
        <v>1005</v>
      </c>
      <c r="L63" s="1" t="s">
        <v>1404</v>
      </c>
      <c r="N63" s="1" t="s">
        <v>5101</v>
      </c>
      <c r="P63" s="1" t="s">
        <v>5109</v>
      </c>
      <c r="Q63" s="3">
        <v>0</v>
      </c>
      <c r="S63" s="23" t="s">
        <v>5949</v>
      </c>
      <c r="T63" s="23" t="s">
        <v>4931</v>
      </c>
      <c r="U63" s="3">
        <v>34</v>
      </c>
      <c r="W63" s="45" t="str">
        <f>HYPERLINK("http://ictvonline.org/taxonomy/p/taxonomy-history?taxnode_id=201851559","ICTVonline=201851559")</f>
        <v>ICTVonline=201851559</v>
      </c>
      <c r="AA63" s="1">
        <v>201850000</v>
      </c>
      <c r="AB63" s="1">
        <v>34</v>
      </c>
    </row>
    <row r="64" spans="1:28" x14ac:dyDescent="0.15">
      <c r="A64" s="1">
        <v>167</v>
      </c>
      <c r="B64" s="1" t="s">
        <v>7159</v>
      </c>
      <c r="F64" s="1" t="s">
        <v>5617</v>
      </c>
      <c r="G64" s="1" t="s">
        <v>5618</v>
      </c>
      <c r="H64" s="1" t="s">
        <v>5633</v>
      </c>
      <c r="J64" s="1" t="s">
        <v>1005</v>
      </c>
      <c r="L64" s="1" t="s">
        <v>1405</v>
      </c>
      <c r="N64" s="1" t="s">
        <v>2291</v>
      </c>
      <c r="P64" s="1" t="s">
        <v>2292</v>
      </c>
      <c r="Q64" s="3">
        <v>1</v>
      </c>
      <c r="S64" s="23" t="s">
        <v>5949</v>
      </c>
      <c r="T64" s="23" t="s">
        <v>4931</v>
      </c>
      <c r="U64" s="3">
        <v>34</v>
      </c>
      <c r="W64" s="45" t="str">
        <f>HYPERLINK("http://ictvonline.org/taxonomy/p/taxonomy-history?taxnode_id=201851563","ICTVonline=201851563")</f>
        <v>ICTVonline=201851563</v>
      </c>
      <c r="AA64" s="1">
        <v>201850000</v>
      </c>
      <c r="AB64" s="1">
        <v>34</v>
      </c>
    </row>
    <row r="65" spans="1:28" x14ac:dyDescent="0.15">
      <c r="A65" s="1">
        <v>171</v>
      </c>
      <c r="B65" s="1" t="s">
        <v>7159</v>
      </c>
      <c r="F65" s="1" t="s">
        <v>5617</v>
      </c>
      <c r="G65" s="1" t="s">
        <v>5618</v>
      </c>
      <c r="H65" s="1" t="s">
        <v>5633</v>
      </c>
      <c r="J65" s="1" t="s">
        <v>1005</v>
      </c>
      <c r="L65" s="1" t="s">
        <v>1405</v>
      </c>
      <c r="N65" s="1" t="s">
        <v>1406</v>
      </c>
      <c r="P65" s="1" t="s">
        <v>1345</v>
      </c>
      <c r="Q65" s="3">
        <v>0</v>
      </c>
      <c r="S65" s="23" t="s">
        <v>5949</v>
      </c>
      <c r="T65" s="23" t="s">
        <v>4931</v>
      </c>
      <c r="U65" s="3">
        <v>34</v>
      </c>
      <c r="W65" s="45" t="str">
        <f>HYPERLINK("http://ictvonline.org/taxonomy/p/taxonomy-history?taxnode_id=201851565","ICTVonline=201851565")</f>
        <v>ICTVonline=201851565</v>
      </c>
      <c r="AA65" s="1">
        <v>201850000</v>
      </c>
      <c r="AB65" s="1">
        <v>34</v>
      </c>
    </row>
    <row r="66" spans="1:28" x14ac:dyDescent="0.15">
      <c r="A66" s="1">
        <v>173</v>
      </c>
      <c r="B66" s="1" t="s">
        <v>7159</v>
      </c>
      <c r="F66" s="1" t="s">
        <v>5617</v>
      </c>
      <c r="G66" s="1" t="s">
        <v>5618</v>
      </c>
      <c r="H66" s="1" t="s">
        <v>5633</v>
      </c>
      <c r="J66" s="1" t="s">
        <v>1005</v>
      </c>
      <c r="L66" s="1" t="s">
        <v>1405</v>
      </c>
      <c r="N66" s="1" t="s">
        <v>1406</v>
      </c>
      <c r="P66" s="1" t="s">
        <v>1407</v>
      </c>
      <c r="Q66" s="3">
        <v>0</v>
      </c>
      <c r="S66" s="23" t="s">
        <v>5949</v>
      </c>
      <c r="T66" s="23" t="s">
        <v>4931</v>
      </c>
      <c r="U66" s="3">
        <v>34</v>
      </c>
      <c r="W66" s="45" t="str">
        <f>HYPERLINK("http://ictvonline.org/taxonomy/p/taxonomy-history?taxnode_id=201851566","ICTVonline=201851566")</f>
        <v>ICTVonline=201851566</v>
      </c>
      <c r="AA66" s="1">
        <v>201850000</v>
      </c>
      <c r="AB66" s="1">
        <v>34</v>
      </c>
    </row>
    <row r="67" spans="1:28" x14ac:dyDescent="0.15">
      <c r="A67" s="1">
        <v>175</v>
      </c>
      <c r="B67" s="1" t="s">
        <v>7159</v>
      </c>
      <c r="F67" s="1" t="s">
        <v>5617</v>
      </c>
      <c r="G67" s="1" t="s">
        <v>5618</v>
      </c>
      <c r="H67" s="1" t="s">
        <v>5633</v>
      </c>
      <c r="J67" s="1" t="s">
        <v>1005</v>
      </c>
      <c r="L67" s="1" t="s">
        <v>1405</v>
      </c>
      <c r="N67" s="1" t="s">
        <v>1406</v>
      </c>
      <c r="P67" s="1" t="s">
        <v>1408</v>
      </c>
      <c r="Q67" s="3">
        <v>0</v>
      </c>
      <c r="S67" s="23" t="s">
        <v>5949</v>
      </c>
      <c r="T67" s="23" t="s">
        <v>4931</v>
      </c>
      <c r="U67" s="3">
        <v>34</v>
      </c>
      <c r="W67" s="45" t="str">
        <f>HYPERLINK("http://ictvonline.org/taxonomy/p/taxonomy-history?taxnode_id=201851567","ICTVonline=201851567")</f>
        <v>ICTVonline=201851567</v>
      </c>
      <c r="AA67" s="1">
        <v>201850000</v>
      </c>
      <c r="AB67" s="1">
        <v>34</v>
      </c>
    </row>
    <row r="68" spans="1:28" x14ac:dyDescent="0.15">
      <c r="A68" s="1">
        <v>177</v>
      </c>
      <c r="B68" s="1" t="s">
        <v>7159</v>
      </c>
      <c r="F68" s="1" t="s">
        <v>5617</v>
      </c>
      <c r="G68" s="1" t="s">
        <v>5618</v>
      </c>
      <c r="H68" s="1" t="s">
        <v>5633</v>
      </c>
      <c r="J68" s="1" t="s">
        <v>1005</v>
      </c>
      <c r="L68" s="1" t="s">
        <v>1405</v>
      </c>
      <c r="N68" s="1" t="s">
        <v>1406</v>
      </c>
      <c r="P68" s="1" t="s">
        <v>5110</v>
      </c>
      <c r="Q68" s="3">
        <v>0</v>
      </c>
      <c r="S68" s="23" t="s">
        <v>5949</v>
      </c>
      <c r="T68" s="23" t="s">
        <v>4931</v>
      </c>
      <c r="U68" s="3">
        <v>34</v>
      </c>
      <c r="W68" s="45" t="str">
        <f>HYPERLINK("http://ictvonline.org/taxonomy/p/taxonomy-history?taxnode_id=201851568","ICTVonline=201851568")</f>
        <v>ICTVonline=201851568</v>
      </c>
      <c r="AA68" s="1">
        <v>201850000</v>
      </c>
      <c r="AB68" s="1">
        <v>34</v>
      </c>
    </row>
    <row r="69" spans="1:28" x14ac:dyDescent="0.15">
      <c r="A69" s="1">
        <v>179</v>
      </c>
      <c r="B69" s="1" t="s">
        <v>7159</v>
      </c>
      <c r="F69" s="1" t="s">
        <v>5617</v>
      </c>
      <c r="G69" s="1" t="s">
        <v>5618</v>
      </c>
      <c r="H69" s="1" t="s">
        <v>5633</v>
      </c>
      <c r="J69" s="1" t="s">
        <v>1005</v>
      </c>
      <c r="L69" s="1" t="s">
        <v>1405</v>
      </c>
      <c r="N69" s="1" t="s">
        <v>1406</v>
      </c>
      <c r="P69" s="1" t="s">
        <v>1409</v>
      </c>
      <c r="Q69" s="3">
        <v>1</v>
      </c>
      <c r="S69" s="23" t="s">
        <v>5949</v>
      </c>
      <c r="T69" s="23" t="s">
        <v>4931</v>
      </c>
      <c r="U69" s="3">
        <v>34</v>
      </c>
      <c r="W69" s="45" t="str">
        <f>HYPERLINK("http://ictvonline.org/taxonomy/p/taxonomy-history?taxnode_id=201851569","ICTVonline=201851569")</f>
        <v>ICTVonline=201851569</v>
      </c>
      <c r="AA69" s="1">
        <v>201850000</v>
      </c>
      <c r="AB69" s="1">
        <v>34</v>
      </c>
    </row>
    <row r="70" spans="1:28" x14ac:dyDescent="0.15">
      <c r="A70" s="1">
        <v>183</v>
      </c>
      <c r="B70" s="1" t="s">
        <v>7159</v>
      </c>
      <c r="F70" s="1" t="s">
        <v>5617</v>
      </c>
      <c r="G70" s="1" t="s">
        <v>5618</v>
      </c>
      <c r="H70" s="1" t="s">
        <v>5633</v>
      </c>
      <c r="J70" s="1" t="s">
        <v>1005</v>
      </c>
      <c r="L70" s="1" t="s">
        <v>1405</v>
      </c>
      <c r="N70" s="1" t="s">
        <v>1410</v>
      </c>
      <c r="P70" s="1" t="s">
        <v>1346</v>
      </c>
      <c r="Q70" s="3">
        <v>1</v>
      </c>
      <c r="S70" s="23" t="s">
        <v>5949</v>
      </c>
      <c r="T70" s="23" t="s">
        <v>4931</v>
      </c>
      <c r="U70" s="3">
        <v>34</v>
      </c>
      <c r="W70" s="45" t="str">
        <f>HYPERLINK("http://ictvonline.org/taxonomy/p/taxonomy-history?taxnode_id=201851571","ICTVonline=201851571")</f>
        <v>ICTVonline=201851571</v>
      </c>
      <c r="AA70" s="1">
        <v>201850000</v>
      </c>
      <c r="AB70" s="1">
        <v>34</v>
      </c>
    </row>
    <row r="71" spans="1:28" x14ac:dyDescent="0.15">
      <c r="A71" s="1">
        <v>187</v>
      </c>
      <c r="B71" s="1" t="s">
        <v>7159</v>
      </c>
      <c r="F71" s="1" t="s">
        <v>5617</v>
      </c>
      <c r="G71" s="1" t="s">
        <v>5618</v>
      </c>
      <c r="H71" s="1" t="s">
        <v>5633</v>
      </c>
      <c r="J71" s="1" t="s">
        <v>1005</v>
      </c>
      <c r="L71" s="1" t="s">
        <v>1405</v>
      </c>
      <c r="N71" s="1" t="s">
        <v>5953</v>
      </c>
      <c r="P71" s="1" t="s">
        <v>5954</v>
      </c>
      <c r="Q71" s="3">
        <v>1</v>
      </c>
      <c r="S71" s="23" t="s">
        <v>5949</v>
      </c>
      <c r="T71" s="23" t="s">
        <v>4929</v>
      </c>
      <c r="U71" s="3">
        <v>34</v>
      </c>
      <c r="V71" s="3" t="s">
        <v>5955</v>
      </c>
      <c r="W71" s="45" t="str">
        <f>HYPERLINK("http://ictvonline.org/taxonomy/p/taxonomy-history?taxnode_id=201856582","ICTVonline=201856582")</f>
        <v>ICTVonline=201856582</v>
      </c>
      <c r="AA71" s="1">
        <v>201850000</v>
      </c>
      <c r="AB71" s="1">
        <v>34</v>
      </c>
    </row>
    <row r="72" spans="1:28" x14ac:dyDescent="0.15">
      <c r="A72" s="1">
        <v>191</v>
      </c>
      <c r="B72" s="1" t="s">
        <v>7159</v>
      </c>
      <c r="F72" s="1" t="s">
        <v>5617</v>
      </c>
      <c r="G72" s="1" t="s">
        <v>5618</v>
      </c>
      <c r="H72" s="1" t="s">
        <v>5633</v>
      </c>
      <c r="J72" s="1" t="s">
        <v>1005</v>
      </c>
      <c r="L72" s="1" t="s">
        <v>1405</v>
      </c>
      <c r="N72" s="1" t="s">
        <v>5956</v>
      </c>
      <c r="P72" s="1" t="s">
        <v>5957</v>
      </c>
      <c r="Q72" s="3">
        <v>1</v>
      </c>
      <c r="S72" s="23" t="s">
        <v>5949</v>
      </c>
      <c r="T72" s="23" t="s">
        <v>4929</v>
      </c>
      <c r="U72" s="3">
        <v>34</v>
      </c>
      <c r="V72" s="3" t="s">
        <v>5955</v>
      </c>
      <c r="W72" s="45" t="str">
        <f>HYPERLINK("http://ictvonline.org/taxonomy/p/taxonomy-history?taxnode_id=201856584","ICTVonline=201856584")</f>
        <v>ICTVonline=201856584</v>
      </c>
      <c r="AA72" s="1">
        <v>201850000</v>
      </c>
      <c r="AB72" s="1">
        <v>34</v>
      </c>
    </row>
    <row r="73" spans="1:28" x14ac:dyDescent="0.15">
      <c r="A73" s="1">
        <v>197</v>
      </c>
      <c r="B73" s="1" t="s">
        <v>7159</v>
      </c>
      <c r="F73" s="1" t="s">
        <v>5617</v>
      </c>
      <c r="G73" s="1" t="s">
        <v>5618</v>
      </c>
      <c r="H73" s="1" t="s">
        <v>5633</v>
      </c>
      <c r="J73" s="1" t="s">
        <v>1005</v>
      </c>
      <c r="L73" s="1" t="s">
        <v>5673</v>
      </c>
      <c r="N73" s="1" t="s">
        <v>3620</v>
      </c>
      <c r="P73" s="1" t="s">
        <v>5674</v>
      </c>
      <c r="Q73" s="3">
        <v>0</v>
      </c>
      <c r="S73" s="23" t="s">
        <v>5949</v>
      </c>
      <c r="T73" s="23" t="s">
        <v>4931</v>
      </c>
      <c r="U73" s="3">
        <v>34</v>
      </c>
      <c r="W73" s="45" t="str">
        <f>HYPERLINK("http://ictvonline.org/taxonomy/p/taxonomy-history?taxnode_id=201851820","ICTVonline=201851820")</f>
        <v>ICTVonline=201851820</v>
      </c>
      <c r="AA73" s="1">
        <v>201850000</v>
      </c>
      <c r="AB73" s="1">
        <v>34</v>
      </c>
    </row>
    <row r="74" spans="1:28" x14ac:dyDescent="0.15">
      <c r="A74" s="1">
        <v>199</v>
      </c>
      <c r="B74" s="1" t="s">
        <v>7159</v>
      </c>
      <c r="F74" s="1" t="s">
        <v>5617</v>
      </c>
      <c r="G74" s="1" t="s">
        <v>5618</v>
      </c>
      <c r="H74" s="1" t="s">
        <v>5633</v>
      </c>
      <c r="J74" s="1" t="s">
        <v>1005</v>
      </c>
      <c r="L74" s="1" t="s">
        <v>5673</v>
      </c>
      <c r="N74" s="1" t="s">
        <v>3620</v>
      </c>
      <c r="P74" s="1" t="s">
        <v>5675</v>
      </c>
      <c r="Q74" s="3">
        <v>0</v>
      </c>
      <c r="S74" s="23" t="s">
        <v>5949</v>
      </c>
      <c r="T74" s="23" t="s">
        <v>4931</v>
      </c>
      <c r="U74" s="3">
        <v>34</v>
      </c>
      <c r="W74" s="45" t="str">
        <f>HYPERLINK("http://ictvonline.org/taxonomy/p/taxonomy-history?taxnode_id=201856266","ICTVonline=201856266")</f>
        <v>ICTVonline=201856266</v>
      </c>
      <c r="AA74" s="1">
        <v>201850000</v>
      </c>
      <c r="AB74" s="1">
        <v>34</v>
      </c>
    </row>
    <row r="75" spans="1:28" x14ac:dyDescent="0.15">
      <c r="A75" s="1">
        <v>201</v>
      </c>
      <c r="B75" s="1" t="s">
        <v>7159</v>
      </c>
      <c r="F75" s="1" t="s">
        <v>5617</v>
      </c>
      <c r="G75" s="1" t="s">
        <v>5618</v>
      </c>
      <c r="H75" s="1" t="s">
        <v>5633</v>
      </c>
      <c r="J75" s="1" t="s">
        <v>1005</v>
      </c>
      <c r="L75" s="1" t="s">
        <v>5673</v>
      </c>
      <c r="N75" s="1" t="s">
        <v>3620</v>
      </c>
      <c r="P75" s="1" t="s">
        <v>3621</v>
      </c>
      <c r="Q75" s="3">
        <v>1</v>
      </c>
      <c r="S75" s="23" t="s">
        <v>5949</v>
      </c>
      <c r="T75" s="23" t="s">
        <v>4931</v>
      </c>
      <c r="U75" s="3">
        <v>34</v>
      </c>
      <c r="W75" s="45" t="str">
        <f>HYPERLINK("http://ictvonline.org/taxonomy/p/taxonomy-history?taxnode_id=201851814","ICTVonline=201851814")</f>
        <v>ICTVonline=201851814</v>
      </c>
      <c r="AA75" s="1">
        <v>201850000</v>
      </c>
      <c r="AB75" s="1">
        <v>34</v>
      </c>
    </row>
    <row r="76" spans="1:28" x14ac:dyDescent="0.15">
      <c r="A76" s="1">
        <v>203</v>
      </c>
      <c r="B76" s="1" t="s">
        <v>7159</v>
      </c>
      <c r="F76" s="1" t="s">
        <v>5617</v>
      </c>
      <c r="G76" s="1" t="s">
        <v>5618</v>
      </c>
      <c r="H76" s="1" t="s">
        <v>5633</v>
      </c>
      <c r="J76" s="1" t="s">
        <v>1005</v>
      </c>
      <c r="L76" s="1" t="s">
        <v>5673</v>
      </c>
      <c r="N76" s="1" t="s">
        <v>3620</v>
      </c>
      <c r="P76" s="1" t="s">
        <v>5676</v>
      </c>
      <c r="Q76" s="3">
        <v>0</v>
      </c>
      <c r="S76" s="23" t="s">
        <v>5949</v>
      </c>
      <c r="T76" s="23" t="s">
        <v>4931</v>
      </c>
      <c r="U76" s="3">
        <v>34</v>
      </c>
      <c r="W76" s="45" t="str">
        <f>HYPERLINK("http://ictvonline.org/taxonomy/p/taxonomy-history?taxnode_id=201856268","ICTVonline=201856268")</f>
        <v>ICTVonline=201856268</v>
      </c>
      <c r="AA76" s="1">
        <v>201850000</v>
      </c>
      <c r="AB76" s="1">
        <v>34</v>
      </c>
    </row>
    <row r="77" spans="1:28" x14ac:dyDescent="0.15">
      <c r="A77" s="1">
        <v>205</v>
      </c>
      <c r="B77" s="1" t="s">
        <v>7159</v>
      </c>
      <c r="F77" s="1" t="s">
        <v>5617</v>
      </c>
      <c r="G77" s="1" t="s">
        <v>5618</v>
      </c>
      <c r="H77" s="1" t="s">
        <v>5633</v>
      </c>
      <c r="J77" s="1" t="s">
        <v>1005</v>
      </c>
      <c r="L77" s="1" t="s">
        <v>5673</v>
      </c>
      <c r="N77" s="1" t="s">
        <v>3620</v>
      </c>
      <c r="P77" s="1" t="s">
        <v>5677</v>
      </c>
      <c r="Q77" s="3">
        <v>0</v>
      </c>
      <c r="S77" s="23" t="s">
        <v>5949</v>
      </c>
      <c r="T77" s="23" t="s">
        <v>4931</v>
      </c>
      <c r="U77" s="3">
        <v>34</v>
      </c>
      <c r="W77" s="45" t="str">
        <f>HYPERLINK("http://ictvonline.org/taxonomy/p/taxonomy-history?taxnode_id=201851816","ICTVonline=201851816")</f>
        <v>ICTVonline=201851816</v>
      </c>
      <c r="AA77" s="1">
        <v>201850000</v>
      </c>
      <c r="AB77" s="1">
        <v>34</v>
      </c>
    </row>
    <row r="78" spans="1:28" x14ac:dyDescent="0.15">
      <c r="A78" s="1">
        <v>207</v>
      </c>
      <c r="B78" s="1" t="s">
        <v>7159</v>
      </c>
      <c r="F78" s="1" t="s">
        <v>5617</v>
      </c>
      <c r="G78" s="1" t="s">
        <v>5618</v>
      </c>
      <c r="H78" s="1" t="s">
        <v>5633</v>
      </c>
      <c r="J78" s="1" t="s">
        <v>1005</v>
      </c>
      <c r="L78" s="1" t="s">
        <v>5673</v>
      </c>
      <c r="N78" s="1" t="s">
        <v>3620</v>
      </c>
      <c r="P78" s="1" t="s">
        <v>5678</v>
      </c>
      <c r="Q78" s="3">
        <v>0</v>
      </c>
      <c r="S78" s="23" t="s">
        <v>5949</v>
      </c>
      <c r="T78" s="23" t="s">
        <v>4931</v>
      </c>
      <c r="U78" s="3">
        <v>34</v>
      </c>
      <c r="W78" s="45" t="str">
        <f>HYPERLINK("http://ictvonline.org/taxonomy/p/taxonomy-history?taxnode_id=201856267","ICTVonline=201856267")</f>
        <v>ICTVonline=201856267</v>
      </c>
      <c r="AA78" s="1">
        <v>201850000</v>
      </c>
      <c r="AB78" s="1">
        <v>34</v>
      </c>
    </row>
    <row r="79" spans="1:28" x14ac:dyDescent="0.15">
      <c r="A79" s="1">
        <v>213</v>
      </c>
      <c r="B79" s="1" t="s">
        <v>7159</v>
      </c>
      <c r="F79" s="1" t="s">
        <v>5617</v>
      </c>
      <c r="G79" s="1" t="s">
        <v>5618</v>
      </c>
      <c r="H79" s="1" t="s">
        <v>5633</v>
      </c>
      <c r="J79" s="1" t="s">
        <v>1005</v>
      </c>
      <c r="L79" s="1" t="s">
        <v>3545</v>
      </c>
      <c r="N79" s="1" t="s">
        <v>3546</v>
      </c>
      <c r="P79" s="1" t="s">
        <v>5679</v>
      </c>
      <c r="Q79" s="3">
        <v>0</v>
      </c>
      <c r="S79" s="23" t="s">
        <v>5949</v>
      </c>
      <c r="T79" s="23" t="s">
        <v>4931</v>
      </c>
      <c r="U79" s="3">
        <v>34</v>
      </c>
      <c r="W79" s="45" t="str">
        <f>HYPERLINK("http://ictvonline.org/taxonomy/p/taxonomy-history?taxnode_id=201856247","ICTVonline=201856247")</f>
        <v>ICTVonline=201856247</v>
      </c>
      <c r="AA79" s="1">
        <v>201850000</v>
      </c>
      <c r="AB79" s="1">
        <v>34</v>
      </c>
    </row>
    <row r="80" spans="1:28" x14ac:dyDescent="0.15">
      <c r="A80" s="1">
        <v>215</v>
      </c>
      <c r="B80" s="1" t="s">
        <v>7159</v>
      </c>
      <c r="F80" s="1" t="s">
        <v>5617</v>
      </c>
      <c r="G80" s="1" t="s">
        <v>5618</v>
      </c>
      <c r="H80" s="1" t="s">
        <v>5633</v>
      </c>
      <c r="J80" s="1" t="s">
        <v>1005</v>
      </c>
      <c r="L80" s="1" t="s">
        <v>3545</v>
      </c>
      <c r="N80" s="1" t="s">
        <v>3546</v>
      </c>
      <c r="P80" s="1" t="s">
        <v>5680</v>
      </c>
      <c r="Q80" s="3">
        <v>0</v>
      </c>
      <c r="S80" s="23" t="s">
        <v>5949</v>
      </c>
      <c r="T80" s="23" t="s">
        <v>4931</v>
      </c>
      <c r="U80" s="3">
        <v>34</v>
      </c>
      <c r="W80" s="45" t="str">
        <f>HYPERLINK("http://ictvonline.org/taxonomy/p/taxonomy-history?taxnode_id=201856248","ICTVonline=201856248")</f>
        <v>ICTVonline=201856248</v>
      </c>
      <c r="AA80" s="1">
        <v>201850000</v>
      </c>
      <c r="AB80" s="1">
        <v>34</v>
      </c>
    </row>
    <row r="81" spans="1:28" x14ac:dyDescent="0.15">
      <c r="A81" s="1">
        <v>217</v>
      </c>
      <c r="B81" s="1" t="s">
        <v>7159</v>
      </c>
      <c r="F81" s="1" t="s">
        <v>5617</v>
      </c>
      <c r="G81" s="1" t="s">
        <v>5618</v>
      </c>
      <c r="H81" s="1" t="s">
        <v>5633</v>
      </c>
      <c r="J81" s="1" t="s">
        <v>1005</v>
      </c>
      <c r="L81" s="1" t="s">
        <v>3545</v>
      </c>
      <c r="N81" s="1" t="s">
        <v>3546</v>
      </c>
      <c r="P81" s="1" t="s">
        <v>5681</v>
      </c>
      <c r="Q81" s="3">
        <v>0</v>
      </c>
      <c r="S81" s="23" t="s">
        <v>5949</v>
      </c>
      <c r="T81" s="23" t="s">
        <v>4931</v>
      </c>
      <c r="U81" s="3">
        <v>34</v>
      </c>
      <c r="W81" s="45" t="str">
        <f>HYPERLINK("http://ictvonline.org/taxonomy/p/taxonomy-history?taxnode_id=201856243","ICTVonline=201856243")</f>
        <v>ICTVonline=201856243</v>
      </c>
      <c r="AA81" s="1">
        <v>201850000</v>
      </c>
      <c r="AB81" s="1">
        <v>34</v>
      </c>
    </row>
    <row r="82" spans="1:28" x14ac:dyDescent="0.15">
      <c r="A82" s="1">
        <v>219</v>
      </c>
      <c r="B82" s="1" t="s">
        <v>7159</v>
      </c>
      <c r="F82" s="1" t="s">
        <v>5617</v>
      </c>
      <c r="G82" s="1" t="s">
        <v>5618</v>
      </c>
      <c r="H82" s="1" t="s">
        <v>5633</v>
      </c>
      <c r="J82" s="1" t="s">
        <v>1005</v>
      </c>
      <c r="L82" s="1" t="s">
        <v>3545</v>
      </c>
      <c r="N82" s="1" t="s">
        <v>3546</v>
      </c>
      <c r="P82" s="1" t="s">
        <v>5682</v>
      </c>
      <c r="Q82" s="3">
        <v>0</v>
      </c>
      <c r="S82" s="23" t="s">
        <v>5949</v>
      </c>
      <c r="T82" s="23" t="s">
        <v>4931</v>
      </c>
      <c r="U82" s="3">
        <v>34</v>
      </c>
      <c r="W82" s="45" t="str">
        <f>HYPERLINK("http://ictvonline.org/taxonomy/p/taxonomy-history?taxnode_id=201856246","ICTVonline=201856246")</f>
        <v>ICTVonline=201856246</v>
      </c>
      <c r="AA82" s="1">
        <v>201850000</v>
      </c>
      <c r="AB82" s="1">
        <v>34</v>
      </c>
    </row>
    <row r="83" spans="1:28" x14ac:dyDescent="0.15">
      <c r="A83" s="1">
        <v>221</v>
      </c>
      <c r="B83" s="1" t="s">
        <v>7159</v>
      </c>
      <c r="F83" s="1" t="s">
        <v>5617</v>
      </c>
      <c r="G83" s="1" t="s">
        <v>5618</v>
      </c>
      <c r="H83" s="1" t="s">
        <v>5633</v>
      </c>
      <c r="J83" s="1" t="s">
        <v>1005</v>
      </c>
      <c r="L83" s="1" t="s">
        <v>3545</v>
      </c>
      <c r="N83" s="1" t="s">
        <v>3546</v>
      </c>
      <c r="P83" s="1" t="s">
        <v>5683</v>
      </c>
      <c r="Q83" s="3">
        <v>0</v>
      </c>
      <c r="S83" s="23" t="s">
        <v>5949</v>
      </c>
      <c r="T83" s="23" t="s">
        <v>4931</v>
      </c>
      <c r="U83" s="3">
        <v>34</v>
      </c>
      <c r="W83" s="45" t="str">
        <f>HYPERLINK("http://ictvonline.org/taxonomy/p/taxonomy-history?taxnode_id=201856244","ICTVonline=201856244")</f>
        <v>ICTVonline=201856244</v>
      </c>
      <c r="AA83" s="1">
        <v>201850000</v>
      </c>
      <c r="AB83" s="1">
        <v>34</v>
      </c>
    </row>
    <row r="84" spans="1:28" x14ac:dyDescent="0.15">
      <c r="A84" s="1">
        <v>223</v>
      </c>
      <c r="B84" s="1" t="s">
        <v>7159</v>
      </c>
      <c r="F84" s="1" t="s">
        <v>5617</v>
      </c>
      <c r="G84" s="1" t="s">
        <v>5618</v>
      </c>
      <c r="H84" s="1" t="s">
        <v>5633</v>
      </c>
      <c r="J84" s="1" t="s">
        <v>1005</v>
      </c>
      <c r="L84" s="1" t="s">
        <v>3545</v>
      </c>
      <c r="N84" s="1" t="s">
        <v>3546</v>
      </c>
      <c r="P84" s="1" t="s">
        <v>5684</v>
      </c>
      <c r="Q84" s="3">
        <v>0</v>
      </c>
      <c r="S84" s="23" t="s">
        <v>5949</v>
      </c>
      <c r="T84" s="23" t="s">
        <v>4931</v>
      </c>
      <c r="U84" s="3">
        <v>34</v>
      </c>
      <c r="W84" s="45" t="str">
        <f>HYPERLINK("http://ictvonline.org/taxonomy/p/taxonomy-history?taxnode_id=201856245","ICTVonline=201856245")</f>
        <v>ICTVonline=201856245</v>
      </c>
      <c r="AA84" s="1">
        <v>201850000</v>
      </c>
      <c r="AB84" s="1">
        <v>34</v>
      </c>
    </row>
    <row r="85" spans="1:28" x14ac:dyDescent="0.15">
      <c r="A85" s="1">
        <v>225</v>
      </c>
      <c r="B85" s="1" t="s">
        <v>7159</v>
      </c>
      <c r="F85" s="1" t="s">
        <v>5617</v>
      </c>
      <c r="G85" s="1" t="s">
        <v>5618</v>
      </c>
      <c r="H85" s="1" t="s">
        <v>5633</v>
      </c>
      <c r="J85" s="1" t="s">
        <v>1005</v>
      </c>
      <c r="L85" s="1" t="s">
        <v>3545</v>
      </c>
      <c r="N85" s="1" t="s">
        <v>3546</v>
      </c>
      <c r="P85" s="1" t="s">
        <v>3547</v>
      </c>
      <c r="Q85" s="3">
        <v>1</v>
      </c>
      <c r="S85" s="23" t="s">
        <v>5949</v>
      </c>
      <c r="T85" s="23" t="s">
        <v>4931</v>
      </c>
      <c r="U85" s="3">
        <v>34</v>
      </c>
      <c r="W85" s="45" t="str">
        <f>HYPERLINK("http://ictvonline.org/taxonomy/p/taxonomy-history?taxnode_id=201851575","ICTVonline=201851575")</f>
        <v>ICTVonline=201851575</v>
      </c>
      <c r="AA85" s="1">
        <v>201850000</v>
      </c>
      <c r="AB85" s="1">
        <v>34</v>
      </c>
    </row>
    <row r="86" spans="1:28" x14ac:dyDescent="0.15">
      <c r="A86" s="1">
        <v>231</v>
      </c>
      <c r="B86" s="1" t="s">
        <v>7159</v>
      </c>
      <c r="F86" s="1" t="s">
        <v>5617</v>
      </c>
      <c r="G86" s="1" t="s">
        <v>5618</v>
      </c>
      <c r="H86" s="1" t="s">
        <v>5633</v>
      </c>
      <c r="J86" s="1" t="s">
        <v>1005</v>
      </c>
      <c r="L86" s="1" t="s">
        <v>2293</v>
      </c>
      <c r="N86" s="1" t="s">
        <v>5685</v>
      </c>
      <c r="P86" s="1" t="s">
        <v>5686</v>
      </c>
      <c r="Q86" s="3">
        <v>0</v>
      </c>
      <c r="S86" s="23" t="s">
        <v>5949</v>
      </c>
      <c r="T86" s="23" t="s">
        <v>4931</v>
      </c>
      <c r="U86" s="3">
        <v>34</v>
      </c>
      <c r="W86" s="45" t="str">
        <f>HYPERLINK("http://ictvonline.org/taxonomy/p/taxonomy-history?taxnode_id=201856257","ICTVonline=201856257")</f>
        <v>ICTVonline=201856257</v>
      </c>
      <c r="AA86" s="1">
        <v>201850000</v>
      </c>
      <c r="AB86" s="1">
        <v>34</v>
      </c>
    </row>
    <row r="87" spans="1:28" x14ac:dyDescent="0.15">
      <c r="A87" s="1">
        <v>233</v>
      </c>
      <c r="B87" s="1" t="s">
        <v>7159</v>
      </c>
      <c r="F87" s="1" t="s">
        <v>5617</v>
      </c>
      <c r="G87" s="1" t="s">
        <v>5618</v>
      </c>
      <c r="H87" s="1" t="s">
        <v>5633</v>
      </c>
      <c r="J87" s="1" t="s">
        <v>1005</v>
      </c>
      <c r="L87" s="1" t="s">
        <v>2293</v>
      </c>
      <c r="N87" s="1" t="s">
        <v>5685</v>
      </c>
      <c r="P87" s="1" t="s">
        <v>5687</v>
      </c>
      <c r="Q87" s="3">
        <v>0</v>
      </c>
      <c r="S87" s="23" t="s">
        <v>5949</v>
      </c>
      <c r="T87" s="23" t="s">
        <v>4931</v>
      </c>
      <c r="U87" s="3">
        <v>34</v>
      </c>
      <c r="W87" s="45" t="str">
        <f>HYPERLINK("http://ictvonline.org/taxonomy/p/taxonomy-history?taxnode_id=201856258","ICTVonline=201856258")</f>
        <v>ICTVonline=201856258</v>
      </c>
      <c r="AA87" s="1">
        <v>201850000</v>
      </c>
      <c r="AB87" s="1">
        <v>34</v>
      </c>
    </row>
    <row r="88" spans="1:28" x14ac:dyDescent="0.15">
      <c r="A88" s="1">
        <v>235</v>
      </c>
      <c r="B88" s="1" t="s">
        <v>7159</v>
      </c>
      <c r="F88" s="1" t="s">
        <v>5617</v>
      </c>
      <c r="G88" s="1" t="s">
        <v>5618</v>
      </c>
      <c r="H88" s="1" t="s">
        <v>5633</v>
      </c>
      <c r="J88" s="1" t="s">
        <v>1005</v>
      </c>
      <c r="L88" s="1" t="s">
        <v>2293</v>
      </c>
      <c r="N88" s="1" t="s">
        <v>5685</v>
      </c>
      <c r="P88" s="1" t="s">
        <v>5688</v>
      </c>
      <c r="Q88" s="3">
        <v>1</v>
      </c>
      <c r="S88" s="23" t="s">
        <v>5949</v>
      </c>
      <c r="T88" s="23" t="s">
        <v>4931</v>
      </c>
      <c r="U88" s="3">
        <v>34</v>
      </c>
      <c r="W88" s="45" t="str">
        <f>HYPERLINK("http://ictvonline.org/taxonomy/p/taxonomy-history?taxnode_id=201856256","ICTVonline=201856256")</f>
        <v>ICTVonline=201856256</v>
      </c>
      <c r="AA88" s="1">
        <v>201850000</v>
      </c>
      <c r="AB88" s="1">
        <v>34</v>
      </c>
    </row>
    <row r="89" spans="1:28" x14ac:dyDescent="0.15">
      <c r="A89" s="1">
        <v>239</v>
      </c>
      <c r="B89" s="1" t="s">
        <v>7159</v>
      </c>
      <c r="F89" s="1" t="s">
        <v>5617</v>
      </c>
      <c r="G89" s="1" t="s">
        <v>5618</v>
      </c>
      <c r="H89" s="1" t="s">
        <v>5633</v>
      </c>
      <c r="J89" s="1" t="s">
        <v>1005</v>
      </c>
      <c r="L89" s="1" t="s">
        <v>2293</v>
      </c>
      <c r="N89" s="1" t="s">
        <v>3622</v>
      </c>
      <c r="P89" s="1" t="s">
        <v>5689</v>
      </c>
      <c r="Q89" s="3">
        <v>0</v>
      </c>
      <c r="S89" s="23" t="s">
        <v>5949</v>
      </c>
      <c r="T89" s="23" t="s">
        <v>4931</v>
      </c>
      <c r="U89" s="3">
        <v>34</v>
      </c>
      <c r="W89" s="45" t="str">
        <f>HYPERLINK("http://ictvonline.org/taxonomy/p/taxonomy-history?taxnode_id=201856250","ICTVonline=201856250")</f>
        <v>ICTVonline=201856250</v>
      </c>
      <c r="AA89" s="1">
        <v>201850000</v>
      </c>
      <c r="AB89" s="1">
        <v>34</v>
      </c>
    </row>
    <row r="90" spans="1:28" x14ac:dyDescent="0.15">
      <c r="A90" s="1">
        <v>241</v>
      </c>
      <c r="B90" s="1" t="s">
        <v>7159</v>
      </c>
      <c r="F90" s="1" t="s">
        <v>5617</v>
      </c>
      <c r="G90" s="1" t="s">
        <v>5618</v>
      </c>
      <c r="H90" s="1" t="s">
        <v>5633</v>
      </c>
      <c r="J90" s="1" t="s">
        <v>1005</v>
      </c>
      <c r="L90" s="1" t="s">
        <v>2293</v>
      </c>
      <c r="N90" s="1" t="s">
        <v>3622</v>
      </c>
      <c r="P90" s="1" t="s">
        <v>5690</v>
      </c>
      <c r="Q90" s="3">
        <v>0</v>
      </c>
      <c r="S90" s="23" t="s">
        <v>5949</v>
      </c>
      <c r="T90" s="23" t="s">
        <v>4931</v>
      </c>
      <c r="U90" s="3">
        <v>34</v>
      </c>
      <c r="W90" s="45" t="str">
        <f>HYPERLINK("http://ictvonline.org/taxonomy/p/taxonomy-history?taxnode_id=201856249","ICTVonline=201856249")</f>
        <v>ICTVonline=201856249</v>
      </c>
      <c r="AA90" s="1">
        <v>201850000</v>
      </c>
      <c r="AB90" s="1">
        <v>34</v>
      </c>
    </row>
    <row r="91" spans="1:28" x14ac:dyDescent="0.15">
      <c r="A91" s="1">
        <v>243</v>
      </c>
      <c r="B91" s="1" t="s">
        <v>7159</v>
      </c>
      <c r="F91" s="1" t="s">
        <v>5617</v>
      </c>
      <c r="G91" s="1" t="s">
        <v>5618</v>
      </c>
      <c r="H91" s="1" t="s">
        <v>5633</v>
      </c>
      <c r="J91" s="1" t="s">
        <v>1005</v>
      </c>
      <c r="L91" s="1" t="s">
        <v>2293</v>
      </c>
      <c r="N91" s="1" t="s">
        <v>3622</v>
      </c>
      <c r="P91" s="1" t="s">
        <v>3623</v>
      </c>
      <c r="Q91" s="3">
        <v>1</v>
      </c>
      <c r="S91" s="23" t="s">
        <v>5949</v>
      </c>
      <c r="T91" s="23" t="s">
        <v>4931</v>
      </c>
      <c r="U91" s="3">
        <v>34</v>
      </c>
      <c r="W91" s="45" t="str">
        <f>HYPERLINK("http://ictvonline.org/taxonomy/p/taxonomy-history?taxnode_id=201851818","ICTVonline=201851818")</f>
        <v>ICTVonline=201851818</v>
      </c>
      <c r="AA91" s="1">
        <v>201850000</v>
      </c>
      <c r="AB91" s="1">
        <v>34</v>
      </c>
    </row>
    <row r="92" spans="1:28" x14ac:dyDescent="0.15">
      <c r="A92" s="1">
        <v>247</v>
      </c>
      <c r="B92" s="1" t="s">
        <v>7159</v>
      </c>
      <c r="F92" s="1" t="s">
        <v>5617</v>
      </c>
      <c r="G92" s="1" t="s">
        <v>5618</v>
      </c>
      <c r="H92" s="1" t="s">
        <v>5633</v>
      </c>
      <c r="J92" s="1" t="s">
        <v>1005</v>
      </c>
      <c r="L92" s="1" t="s">
        <v>2293</v>
      </c>
      <c r="N92" s="1" t="s">
        <v>2294</v>
      </c>
      <c r="P92" s="1" t="s">
        <v>2295</v>
      </c>
      <c r="Q92" s="3">
        <v>0</v>
      </c>
      <c r="S92" s="23" t="s">
        <v>5949</v>
      </c>
      <c r="T92" s="23" t="s">
        <v>4931</v>
      </c>
      <c r="U92" s="3">
        <v>34</v>
      </c>
      <c r="W92" s="45" t="str">
        <f>HYPERLINK("http://ictvonline.org/taxonomy/p/taxonomy-history?taxnode_id=201851579","ICTVonline=201851579")</f>
        <v>ICTVonline=201851579</v>
      </c>
      <c r="AA92" s="1">
        <v>201850000</v>
      </c>
      <c r="AB92" s="1">
        <v>34</v>
      </c>
    </row>
    <row r="93" spans="1:28" x14ac:dyDescent="0.15">
      <c r="A93" s="1">
        <v>249</v>
      </c>
      <c r="B93" s="1" t="s">
        <v>7159</v>
      </c>
      <c r="F93" s="1" t="s">
        <v>5617</v>
      </c>
      <c r="G93" s="1" t="s">
        <v>5618</v>
      </c>
      <c r="H93" s="1" t="s">
        <v>5633</v>
      </c>
      <c r="J93" s="1" t="s">
        <v>1005</v>
      </c>
      <c r="L93" s="1" t="s">
        <v>2293</v>
      </c>
      <c r="N93" s="1" t="s">
        <v>2294</v>
      </c>
      <c r="P93" s="1" t="s">
        <v>2296</v>
      </c>
      <c r="Q93" s="3">
        <v>1</v>
      </c>
      <c r="S93" s="23" t="s">
        <v>5949</v>
      </c>
      <c r="T93" s="23" t="s">
        <v>4931</v>
      </c>
      <c r="U93" s="3">
        <v>34</v>
      </c>
      <c r="W93" s="45" t="str">
        <f>HYPERLINK("http://ictvonline.org/taxonomy/p/taxonomy-history?taxnode_id=201851580","ICTVonline=201851580")</f>
        <v>ICTVonline=201851580</v>
      </c>
      <c r="AA93" s="1">
        <v>201850000</v>
      </c>
      <c r="AB93" s="1">
        <v>34</v>
      </c>
    </row>
    <row r="94" spans="1:28" x14ac:dyDescent="0.15">
      <c r="A94" s="1">
        <v>251</v>
      </c>
      <c r="B94" s="1" t="s">
        <v>7159</v>
      </c>
      <c r="F94" s="1" t="s">
        <v>5617</v>
      </c>
      <c r="G94" s="1" t="s">
        <v>5618</v>
      </c>
      <c r="H94" s="1" t="s">
        <v>5633</v>
      </c>
      <c r="J94" s="1" t="s">
        <v>1005</v>
      </c>
      <c r="L94" s="1" t="s">
        <v>2293</v>
      </c>
      <c r="N94" s="1" t="s">
        <v>2294</v>
      </c>
      <c r="P94" s="1" t="s">
        <v>2627</v>
      </c>
      <c r="Q94" s="3">
        <v>0</v>
      </c>
      <c r="S94" s="23" t="s">
        <v>5949</v>
      </c>
      <c r="T94" s="23" t="s">
        <v>4931</v>
      </c>
      <c r="U94" s="3">
        <v>34</v>
      </c>
      <c r="W94" s="45" t="str">
        <f>HYPERLINK("http://ictvonline.org/taxonomy/p/taxonomy-history?taxnode_id=201851581","ICTVonline=201851581")</f>
        <v>ICTVonline=201851581</v>
      </c>
      <c r="AA94" s="1">
        <v>201850000</v>
      </c>
      <c r="AB94" s="1">
        <v>34</v>
      </c>
    </row>
    <row r="95" spans="1:28" x14ac:dyDescent="0.15">
      <c r="A95" s="1">
        <v>255</v>
      </c>
      <c r="B95" s="1" t="s">
        <v>7159</v>
      </c>
      <c r="F95" s="1" t="s">
        <v>5617</v>
      </c>
      <c r="G95" s="1" t="s">
        <v>5618</v>
      </c>
      <c r="H95" s="1" t="s">
        <v>5633</v>
      </c>
      <c r="J95" s="1" t="s">
        <v>1005</v>
      </c>
      <c r="L95" s="1" t="s">
        <v>2293</v>
      </c>
      <c r="N95" s="1" t="s">
        <v>5691</v>
      </c>
      <c r="P95" s="1" t="s">
        <v>5692</v>
      </c>
      <c r="Q95" s="3">
        <v>1</v>
      </c>
      <c r="S95" s="23" t="s">
        <v>5949</v>
      </c>
      <c r="T95" s="23" t="s">
        <v>4931</v>
      </c>
      <c r="U95" s="3">
        <v>34</v>
      </c>
      <c r="W95" s="45" t="str">
        <f>HYPERLINK("http://ictvonline.org/taxonomy/p/taxonomy-history?taxnode_id=201856252","ICTVonline=201856252")</f>
        <v>ICTVonline=201856252</v>
      </c>
      <c r="AA95" s="1">
        <v>201850000</v>
      </c>
      <c r="AB95" s="1">
        <v>34</v>
      </c>
    </row>
    <row r="96" spans="1:28" x14ac:dyDescent="0.15">
      <c r="A96" s="1">
        <v>259</v>
      </c>
      <c r="B96" s="1" t="s">
        <v>7159</v>
      </c>
      <c r="F96" s="1" t="s">
        <v>5617</v>
      </c>
      <c r="G96" s="1" t="s">
        <v>5618</v>
      </c>
      <c r="H96" s="1" t="s">
        <v>5633</v>
      </c>
      <c r="J96" s="1" t="s">
        <v>1005</v>
      </c>
      <c r="L96" s="1" t="s">
        <v>2293</v>
      </c>
      <c r="N96" s="1" t="s">
        <v>3548</v>
      </c>
      <c r="P96" s="1" t="s">
        <v>3549</v>
      </c>
      <c r="Q96" s="3">
        <v>1</v>
      </c>
      <c r="S96" s="23" t="s">
        <v>5949</v>
      </c>
      <c r="T96" s="23" t="s">
        <v>4931</v>
      </c>
      <c r="U96" s="3">
        <v>34</v>
      </c>
      <c r="W96" s="45" t="str">
        <f>HYPERLINK("http://ictvonline.org/taxonomy/p/taxonomy-history?taxnode_id=201851585","ICTVonline=201851585")</f>
        <v>ICTVonline=201851585</v>
      </c>
      <c r="AA96" s="1">
        <v>201850000</v>
      </c>
      <c r="AB96" s="1">
        <v>34</v>
      </c>
    </row>
    <row r="97" spans="1:28" x14ac:dyDescent="0.15">
      <c r="A97" s="1">
        <v>263</v>
      </c>
      <c r="B97" s="1" t="s">
        <v>7159</v>
      </c>
      <c r="F97" s="1" t="s">
        <v>5617</v>
      </c>
      <c r="G97" s="1" t="s">
        <v>5618</v>
      </c>
      <c r="H97" s="1" t="s">
        <v>5633</v>
      </c>
      <c r="J97" s="1" t="s">
        <v>1005</v>
      </c>
      <c r="L97" s="1" t="s">
        <v>2293</v>
      </c>
      <c r="N97" s="1" t="s">
        <v>5693</v>
      </c>
      <c r="P97" s="1" t="s">
        <v>5694</v>
      </c>
      <c r="Q97" s="3">
        <v>1</v>
      </c>
      <c r="S97" s="23" t="s">
        <v>5949</v>
      </c>
      <c r="T97" s="23" t="s">
        <v>4931</v>
      </c>
      <c r="U97" s="3">
        <v>34</v>
      </c>
      <c r="W97" s="45" t="str">
        <f>HYPERLINK("http://ictvonline.org/taxonomy/p/taxonomy-history?taxnode_id=201856254","ICTVonline=201856254")</f>
        <v>ICTVonline=201856254</v>
      </c>
      <c r="AA97" s="1">
        <v>201850000</v>
      </c>
      <c r="AB97" s="1">
        <v>34</v>
      </c>
    </row>
    <row r="98" spans="1:28" x14ac:dyDescent="0.15">
      <c r="A98" s="1">
        <v>270</v>
      </c>
      <c r="B98" s="1" t="s">
        <v>7159</v>
      </c>
      <c r="F98" s="1" t="s">
        <v>5617</v>
      </c>
      <c r="G98" s="1" t="s">
        <v>5618</v>
      </c>
      <c r="H98" s="1" t="s">
        <v>5633</v>
      </c>
      <c r="J98" s="1" t="s">
        <v>1005</v>
      </c>
      <c r="L98" s="1" t="s">
        <v>1411</v>
      </c>
      <c r="M98" s="1" t="s">
        <v>5958</v>
      </c>
      <c r="N98" s="1" t="s">
        <v>5959</v>
      </c>
      <c r="P98" s="1" t="s">
        <v>5960</v>
      </c>
      <c r="Q98" s="3">
        <v>1</v>
      </c>
      <c r="S98" s="23" t="s">
        <v>5949</v>
      </c>
      <c r="W98" s="45" t="str">
        <f>HYPERLINK("http://ictvonline.org/taxonomy/p/taxonomy-history?taxnode_id=201851592","ICTVonline=201851592")</f>
        <v>ICTVonline=201851592</v>
      </c>
      <c r="AA98" s="1">
        <v>201850000</v>
      </c>
      <c r="AB98" s="1">
        <v>34</v>
      </c>
    </row>
    <row r="99" spans="1:28" x14ac:dyDescent="0.15">
      <c r="A99" s="1">
        <v>272</v>
      </c>
      <c r="B99" s="1" t="s">
        <v>7159</v>
      </c>
      <c r="F99" s="1" t="s">
        <v>5617</v>
      </c>
      <c r="G99" s="1" t="s">
        <v>5618</v>
      </c>
      <c r="H99" s="1" t="s">
        <v>5633</v>
      </c>
      <c r="J99" s="1" t="s">
        <v>1005</v>
      </c>
      <c r="L99" s="1" t="s">
        <v>1411</v>
      </c>
      <c r="M99" s="1" t="s">
        <v>5958</v>
      </c>
      <c r="N99" s="1" t="s">
        <v>5959</v>
      </c>
      <c r="P99" s="1" t="s">
        <v>5961</v>
      </c>
      <c r="Q99" s="3">
        <v>0</v>
      </c>
      <c r="S99" s="23" t="s">
        <v>5949</v>
      </c>
      <c r="W99" s="45" t="str">
        <f>HYPERLINK("http://ictvonline.org/taxonomy/p/taxonomy-history?taxnode_id=201851595","ICTVonline=201851595")</f>
        <v>ICTVonline=201851595</v>
      </c>
      <c r="AA99" s="1">
        <v>201850000</v>
      </c>
      <c r="AB99" s="1">
        <v>34</v>
      </c>
    </row>
    <row r="100" spans="1:28" x14ac:dyDescent="0.15">
      <c r="A100" s="1">
        <v>274</v>
      </c>
      <c r="B100" s="1" t="s">
        <v>7159</v>
      </c>
      <c r="F100" s="1" t="s">
        <v>5617</v>
      </c>
      <c r="G100" s="1" t="s">
        <v>5618</v>
      </c>
      <c r="H100" s="1" t="s">
        <v>5633</v>
      </c>
      <c r="J100" s="1" t="s">
        <v>1005</v>
      </c>
      <c r="L100" s="1" t="s">
        <v>1411</v>
      </c>
      <c r="M100" s="1" t="s">
        <v>5958</v>
      </c>
      <c r="N100" s="1" t="s">
        <v>5959</v>
      </c>
      <c r="P100" s="1" t="s">
        <v>5962</v>
      </c>
      <c r="Q100" s="3">
        <v>0</v>
      </c>
      <c r="S100" s="23" t="s">
        <v>5949</v>
      </c>
      <c r="W100" s="45" t="str">
        <f>HYPERLINK("http://ictvonline.org/taxonomy/p/taxonomy-history?taxnode_id=201851596","ICTVonline=201851596")</f>
        <v>ICTVonline=201851596</v>
      </c>
      <c r="AA100" s="1">
        <v>201850000</v>
      </c>
      <c r="AB100" s="1">
        <v>34</v>
      </c>
    </row>
    <row r="101" spans="1:28" x14ac:dyDescent="0.15">
      <c r="A101" s="1">
        <v>276</v>
      </c>
      <c r="B101" s="1" t="s">
        <v>7159</v>
      </c>
      <c r="F101" s="1" t="s">
        <v>5617</v>
      </c>
      <c r="G101" s="1" t="s">
        <v>5618</v>
      </c>
      <c r="H101" s="1" t="s">
        <v>5633</v>
      </c>
      <c r="J101" s="1" t="s">
        <v>1005</v>
      </c>
      <c r="L101" s="1" t="s">
        <v>1411</v>
      </c>
      <c r="M101" s="1" t="s">
        <v>5958</v>
      </c>
      <c r="N101" s="1" t="s">
        <v>5959</v>
      </c>
      <c r="P101" s="1" t="s">
        <v>5963</v>
      </c>
      <c r="Q101" s="3">
        <v>0</v>
      </c>
      <c r="S101" s="23" t="s">
        <v>5949</v>
      </c>
      <c r="W101" s="45" t="str">
        <f>HYPERLINK("http://ictvonline.org/taxonomy/p/taxonomy-history?taxnode_id=201851597","ICTVonline=201851597")</f>
        <v>ICTVonline=201851597</v>
      </c>
      <c r="AA101" s="1">
        <v>201850000</v>
      </c>
      <c r="AB101" s="1">
        <v>34</v>
      </c>
    </row>
    <row r="102" spans="1:28" x14ac:dyDescent="0.15">
      <c r="A102" s="1">
        <v>278</v>
      </c>
      <c r="B102" s="1" t="s">
        <v>7159</v>
      </c>
      <c r="F102" s="1" t="s">
        <v>5617</v>
      </c>
      <c r="G102" s="1" t="s">
        <v>5618</v>
      </c>
      <c r="H102" s="1" t="s">
        <v>5633</v>
      </c>
      <c r="J102" s="1" t="s">
        <v>1005</v>
      </c>
      <c r="L102" s="1" t="s">
        <v>1411</v>
      </c>
      <c r="M102" s="1" t="s">
        <v>5958</v>
      </c>
      <c r="N102" s="1" t="s">
        <v>5959</v>
      </c>
      <c r="P102" s="1" t="s">
        <v>5964</v>
      </c>
      <c r="Q102" s="3">
        <v>0</v>
      </c>
      <c r="S102" s="23" t="s">
        <v>5949</v>
      </c>
      <c r="W102" s="45" t="str">
        <f>HYPERLINK("http://ictvonline.org/taxonomy/p/taxonomy-history?taxnode_id=201851598","ICTVonline=201851598")</f>
        <v>ICTVonline=201851598</v>
      </c>
      <c r="AA102" s="1">
        <v>201850000</v>
      </c>
      <c r="AB102" s="1">
        <v>34</v>
      </c>
    </row>
    <row r="103" spans="1:28" x14ac:dyDescent="0.15">
      <c r="A103" s="1">
        <v>280</v>
      </c>
      <c r="B103" s="1" t="s">
        <v>7159</v>
      </c>
      <c r="F103" s="1" t="s">
        <v>5617</v>
      </c>
      <c r="G103" s="1" t="s">
        <v>5618</v>
      </c>
      <c r="H103" s="1" t="s">
        <v>5633</v>
      </c>
      <c r="J103" s="1" t="s">
        <v>1005</v>
      </c>
      <c r="L103" s="1" t="s">
        <v>1411</v>
      </c>
      <c r="M103" s="1" t="s">
        <v>5958</v>
      </c>
      <c r="N103" s="1" t="s">
        <v>5959</v>
      </c>
      <c r="P103" s="1" t="s">
        <v>5965</v>
      </c>
      <c r="Q103" s="3">
        <v>0</v>
      </c>
      <c r="S103" s="23" t="s">
        <v>5949</v>
      </c>
      <c r="W103" s="45" t="str">
        <f>HYPERLINK("http://ictvonline.org/taxonomy/p/taxonomy-history?taxnode_id=201851600","ICTVonline=201851600")</f>
        <v>ICTVonline=201851600</v>
      </c>
      <c r="AA103" s="1">
        <v>201850000</v>
      </c>
      <c r="AB103" s="1">
        <v>34</v>
      </c>
    </row>
    <row r="104" spans="1:28" x14ac:dyDescent="0.15">
      <c r="A104" s="1">
        <v>282</v>
      </c>
      <c r="B104" s="1" t="s">
        <v>7159</v>
      </c>
      <c r="F104" s="1" t="s">
        <v>5617</v>
      </c>
      <c r="G104" s="1" t="s">
        <v>5618</v>
      </c>
      <c r="H104" s="1" t="s">
        <v>5633</v>
      </c>
      <c r="J104" s="1" t="s">
        <v>1005</v>
      </c>
      <c r="L104" s="1" t="s">
        <v>1411</v>
      </c>
      <c r="M104" s="1" t="s">
        <v>5958</v>
      </c>
      <c r="N104" s="1" t="s">
        <v>5959</v>
      </c>
      <c r="P104" s="1" t="s">
        <v>5966</v>
      </c>
      <c r="Q104" s="3">
        <v>0</v>
      </c>
      <c r="S104" s="23" t="s">
        <v>5949</v>
      </c>
      <c r="W104" s="45" t="str">
        <f>HYPERLINK("http://ictvonline.org/taxonomy/p/taxonomy-history?taxnode_id=201851601","ICTVonline=201851601")</f>
        <v>ICTVonline=201851601</v>
      </c>
      <c r="AA104" s="1">
        <v>201850000</v>
      </c>
      <c r="AB104" s="1">
        <v>34</v>
      </c>
    </row>
    <row r="105" spans="1:28" x14ac:dyDescent="0.15">
      <c r="A105" s="1">
        <v>284</v>
      </c>
      <c r="B105" s="1" t="s">
        <v>7159</v>
      </c>
      <c r="F105" s="1" t="s">
        <v>5617</v>
      </c>
      <c r="G105" s="1" t="s">
        <v>5618</v>
      </c>
      <c r="H105" s="1" t="s">
        <v>5633</v>
      </c>
      <c r="J105" s="1" t="s">
        <v>1005</v>
      </c>
      <c r="L105" s="1" t="s">
        <v>1411</v>
      </c>
      <c r="M105" s="1" t="s">
        <v>5958</v>
      </c>
      <c r="N105" s="1" t="s">
        <v>5959</v>
      </c>
      <c r="P105" s="1" t="s">
        <v>5967</v>
      </c>
      <c r="Q105" s="3">
        <v>0</v>
      </c>
      <c r="S105" s="23" t="s">
        <v>5949</v>
      </c>
      <c r="W105" s="45" t="str">
        <f>HYPERLINK("http://ictvonline.org/taxonomy/p/taxonomy-history?taxnode_id=201855574","ICTVonline=201855574")</f>
        <v>ICTVonline=201855574</v>
      </c>
      <c r="AA105" s="1">
        <v>201850000</v>
      </c>
      <c r="AB105" s="1">
        <v>34</v>
      </c>
    </row>
    <row r="106" spans="1:28" x14ac:dyDescent="0.15">
      <c r="A106" s="1">
        <v>286</v>
      </c>
      <c r="B106" s="1" t="s">
        <v>7159</v>
      </c>
      <c r="F106" s="1" t="s">
        <v>5617</v>
      </c>
      <c r="G106" s="1" t="s">
        <v>5618</v>
      </c>
      <c r="H106" s="1" t="s">
        <v>5633</v>
      </c>
      <c r="J106" s="1" t="s">
        <v>1005</v>
      </c>
      <c r="L106" s="1" t="s">
        <v>1411</v>
      </c>
      <c r="M106" s="1" t="s">
        <v>5958</v>
      </c>
      <c r="N106" s="1" t="s">
        <v>5959</v>
      </c>
      <c r="P106" s="1" t="s">
        <v>5968</v>
      </c>
      <c r="Q106" s="3">
        <v>0</v>
      </c>
      <c r="S106" s="23" t="s">
        <v>5949</v>
      </c>
      <c r="W106" s="45" t="str">
        <f>HYPERLINK("http://ictvonline.org/taxonomy/p/taxonomy-history?taxnode_id=201855575","ICTVonline=201855575")</f>
        <v>ICTVonline=201855575</v>
      </c>
      <c r="AA106" s="1">
        <v>201850000</v>
      </c>
      <c r="AB106" s="1">
        <v>34</v>
      </c>
    </row>
    <row r="107" spans="1:28" x14ac:dyDescent="0.15">
      <c r="A107" s="1">
        <v>288</v>
      </c>
      <c r="B107" s="1" t="s">
        <v>7159</v>
      </c>
      <c r="F107" s="1" t="s">
        <v>5617</v>
      </c>
      <c r="G107" s="1" t="s">
        <v>5618</v>
      </c>
      <c r="H107" s="1" t="s">
        <v>5633</v>
      </c>
      <c r="J107" s="1" t="s">
        <v>1005</v>
      </c>
      <c r="L107" s="1" t="s">
        <v>1411</v>
      </c>
      <c r="M107" s="1" t="s">
        <v>5958</v>
      </c>
      <c r="N107" s="1" t="s">
        <v>5959</v>
      </c>
      <c r="P107" s="1" t="s">
        <v>5969</v>
      </c>
      <c r="Q107" s="3">
        <v>0</v>
      </c>
      <c r="S107" s="23" t="s">
        <v>5949</v>
      </c>
      <c r="T107" s="23" t="s">
        <v>4929</v>
      </c>
      <c r="U107" s="3">
        <v>34</v>
      </c>
      <c r="V107" s="3" t="s">
        <v>5970</v>
      </c>
      <c r="W107" s="45" t="str">
        <f>HYPERLINK("http://ictvonline.org/taxonomy/p/taxonomy-history?taxnode_id=201856448","ICTVonline=201856448")</f>
        <v>ICTVonline=201856448</v>
      </c>
      <c r="AA107" s="1">
        <v>201850000</v>
      </c>
      <c r="AB107" s="1">
        <v>34</v>
      </c>
    </row>
    <row r="108" spans="1:28" x14ac:dyDescent="0.15">
      <c r="A108" s="1">
        <v>292</v>
      </c>
      <c r="B108" s="1" t="s">
        <v>7159</v>
      </c>
      <c r="F108" s="1" t="s">
        <v>5617</v>
      </c>
      <c r="G108" s="1" t="s">
        <v>5618</v>
      </c>
      <c r="H108" s="1" t="s">
        <v>5633</v>
      </c>
      <c r="J108" s="1" t="s">
        <v>1005</v>
      </c>
      <c r="L108" s="1" t="s">
        <v>1411</v>
      </c>
      <c r="M108" s="1" t="s">
        <v>5958</v>
      </c>
      <c r="N108" s="1" t="s">
        <v>5971</v>
      </c>
      <c r="P108" s="1" t="s">
        <v>5972</v>
      </c>
      <c r="Q108" s="3">
        <v>1</v>
      </c>
      <c r="S108" s="23" t="s">
        <v>5949</v>
      </c>
      <c r="W108" s="45" t="str">
        <f>HYPERLINK("http://ictvonline.org/taxonomy/p/taxonomy-history?taxnode_id=201851591","ICTVonline=201851591")</f>
        <v>ICTVonline=201851591</v>
      </c>
      <c r="AA108" s="1">
        <v>201850000</v>
      </c>
      <c r="AB108" s="1">
        <v>34</v>
      </c>
    </row>
    <row r="109" spans="1:28" x14ac:dyDescent="0.15">
      <c r="A109" s="1">
        <v>294</v>
      </c>
      <c r="B109" s="1" t="s">
        <v>7159</v>
      </c>
      <c r="F109" s="1" t="s">
        <v>5617</v>
      </c>
      <c r="G109" s="1" t="s">
        <v>5618</v>
      </c>
      <c r="H109" s="1" t="s">
        <v>5633</v>
      </c>
      <c r="J109" s="1" t="s">
        <v>1005</v>
      </c>
      <c r="L109" s="1" t="s">
        <v>1411</v>
      </c>
      <c r="M109" s="1" t="s">
        <v>5958</v>
      </c>
      <c r="N109" s="1" t="s">
        <v>5971</v>
      </c>
      <c r="P109" s="1" t="s">
        <v>5973</v>
      </c>
      <c r="Q109" s="3">
        <v>0</v>
      </c>
      <c r="S109" s="23" t="s">
        <v>5949</v>
      </c>
      <c r="W109" s="45" t="str">
        <f>HYPERLINK("http://ictvonline.org/taxonomy/p/taxonomy-history?taxnode_id=201851599","ICTVonline=201851599")</f>
        <v>ICTVonline=201851599</v>
      </c>
      <c r="AA109" s="1">
        <v>201850000</v>
      </c>
      <c r="AB109" s="1">
        <v>34</v>
      </c>
    </row>
    <row r="110" spans="1:28" x14ac:dyDescent="0.15">
      <c r="A110" s="1">
        <v>296</v>
      </c>
      <c r="B110" s="1" t="s">
        <v>7159</v>
      </c>
      <c r="F110" s="1" t="s">
        <v>5617</v>
      </c>
      <c r="G110" s="1" t="s">
        <v>5618</v>
      </c>
      <c r="H110" s="1" t="s">
        <v>5633</v>
      </c>
      <c r="J110" s="1" t="s">
        <v>1005</v>
      </c>
      <c r="L110" s="1" t="s">
        <v>1411</v>
      </c>
      <c r="M110" s="1" t="s">
        <v>5958</v>
      </c>
      <c r="N110" s="1" t="s">
        <v>5971</v>
      </c>
      <c r="P110" s="1" t="s">
        <v>5974</v>
      </c>
      <c r="Q110" s="3">
        <v>0</v>
      </c>
      <c r="S110" s="23" t="s">
        <v>5949</v>
      </c>
      <c r="W110" s="45" t="str">
        <f>HYPERLINK("http://ictvonline.org/taxonomy/p/taxonomy-history?taxnode_id=201851602","ICTVonline=201851602")</f>
        <v>ICTVonline=201851602</v>
      </c>
      <c r="AA110" s="1">
        <v>201850000</v>
      </c>
      <c r="AB110" s="1">
        <v>34</v>
      </c>
    </row>
    <row r="111" spans="1:28" x14ac:dyDescent="0.15">
      <c r="A111" s="1">
        <v>298</v>
      </c>
      <c r="B111" s="1" t="s">
        <v>7159</v>
      </c>
      <c r="F111" s="1" t="s">
        <v>5617</v>
      </c>
      <c r="G111" s="1" t="s">
        <v>5618</v>
      </c>
      <c r="H111" s="1" t="s">
        <v>5633</v>
      </c>
      <c r="J111" s="1" t="s">
        <v>1005</v>
      </c>
      <c r="L111" s="1" t="s">
        <v>1411</v>
      </c>
      <c r="M111" s="1" t="s">
        <v>5958</v>
      </c>
      <c r="N111" s="1" t="s">
        <v>5971</v>
      </c>
      <c r="P111" s="1" t="s">
        <v>5975</v>
      </c>
      <c r="Q111" s="3">
        <v>0</v>
      </c>
      <c r="S111" s="23" t="s">
        <v>5949</v>
      </c>
      <c r="W111" s="45" t="str">
        <f>HYPERLINK("http://ictvonline.org/taxonomy/p/taxonomy-history?taxnode_id=201851603","ICTVonline=201851603")</f>
        <v>ICTVonline=201851603</v>
      </c>
      <c r="AA111" s="1">
        <v>201850000</v>
      </c>
      <c r="AB111" s="1">
        <v>34</v>
      </c>
    </row>
    <row r="112" spans="1:28" x14ac:dyDescent="0.15">
      <c r="A112" s="1">
        <v>300</v>
      </c>
      <c r="B112" s="1" t="s">
        <v>7159</v>
      </c>
      <c r="F112" s="1" t="s">
        <v>5617</v>
      </c>
      <c r="G112" s="1" t="s">
        <v>5618</v>
      </c>
      <c r="H112" s="1" t="s">
        <v>5633</v>
      </c>
      <c r="J112" s="1" t="s">
        <v>1005</v>
      </c>
      <c r="L112" s="1" t="s">
        <v>1411</v>
      </c>
      <c r="M112" s="1" t="s">
        <v>5958</v>
      </c>
      <c r="N112" s="1" t="s">
        <v>5971</v>
      </c>
      <c r="P112" s="1" t="s">
        <v>5976</v>
      </c>
      <c r="Q112" s="3">
        <v>0</v>
      </c>
      <c r="S112" s="23" t="s">
        <v>5949</v>
      </c>
      <c r="W112" s="45" t="str">
        <f>HYPERLINK("http://ictvonline.org/taxonomy/p/taxonomy-history?taxnode_id=201855576","ICTVonline=201855576")</f>
        <v>ICTVonline=201855576</v>
      </c>
      <c r="AA112" s="1">
        <v>201850000</v>
      </c>
      <c r="AB112" s="1">
        <v>34</v>
      </c>
    </row>
    <row r="113" spans="1:28" x14ac:dyDescent="0.15">
      <c r="A113" s="1">
        <v>302</v>
      </c>
      <c r="B113" s="1" t="s">
        <v>7159</v>
      </c>
      <c r="F113" s="1" t="s">
        <v>5617</v>
      </c>
      <c r="G113" s="1" t="s">
        <v>5618</v>
      </c>
      <c r="H113" s="1" t="s">
        <v>5633</v>
      </c>
      <c r="J113" s="1" t="s">
        <v>1005</v>
      </c>
      <c r="L113" s="1" t="s">
        <v>1411</v>
      </c>
      <c r="M113" s="1" t="s">
        <v>5958</v>
      </c>
      <c r="N113" s="1" t="s">
        <v>5971</v>
      </c>
      <c r="P113" s="1" t="s">
        <v>5977</v>
      </c>
      <c r="Q113" s="3">
        <v>0</v>
      </c>
      <c r="S113" s="23" t="s">
        <v>5949</v>
      </c>
      <c r="W113" s="45" t="str">
        <f>HYPERLINK("http://ictvonline.org/taxonomy/p/taxonomy-history?taxnode_id=201855577","ICTVonline=201855577")</f>
        <v>ICTVonline=201855577</v>
      </c>
      <c r="AA113" s="1">
        <v>201850000</v>
      </c>
      <c r="AB113" s="1">
        <v>34</v>
      </c>
    </row>
    <row r="114" spans="1:28" x14ac:dyDescent="0.15">
      <c r="A114" s="1">
        <v>304</v>
      </c>
      <c r="B114" s="1" t="s">
        <v>7159</v>
      </c>
      <c r="F114" s="1" t="s">
        <v>5617</v>
      </c>
      <c r="G114" s="1" t="s">
        <v>5618</v>
      </c>
      <c r="H114" s="1" t="s">
        <v>5633</v>
      </c>
      <c r="J114" s="1" t="s">
        <v>1005</v>
      </c>
      <c r="L114" s="1" t="s">
        <v>1411</v>
      </c>
      <c r="M114" s="1" t="s">
        <v>5958</v>
      </c>
      <c r="N114" s="1" t="s">
        <v>5971</v>
      </c>
      <c r="P114" s="4" t="s">
        <v>5978</v>
      </c>
      <c r="Q114" s="3">
        <v>0</v>
      </c>
      <c r="R114" s="24"/>
      <c r="S114" s="24" t="s">
        <v>5949</v>
      </c>
      <c r="T114" s="24"/>
      <c r="W114" s="45" t="str">
        <f>HYPERLINK("http://ictvonline.org/taxonomy/p/taxonomy-history?taxnode_id=201855578","ICTVonline=201855578")</f>
        <v>ICTVonline=201855578</v>
      </c>
      <c r="AA114" s="1">
        <v>201850000</v>
      </c>
      <c r="AB114" s="1">
        <v>34</v>
      </c>
    </row>
    <row r="115" spans="1:28" x14ac:dyDescent="0.15">
      <c r="A115" s="1">
        <v>306</v>
      </c>
      <c r="B115" s="1" t="s">
        <v>7159</v>
      </c>
      <c r="F115" s="1" t="s">
        <v>5617</v>
      </c>
      <c r="G115" s="1" t="s">
        <v>5618</v>
      </c>
      <c r="H115" s="1" t="s">
        <v>5633</v>
      </c>
      <c r="J115" s="1" t="s">
        <v>1005</v>
      </c>
      <c r="L115" s="1" t="s">
        <v>1411</v>
      </c>
      <c r="M115" s="1" t="s">
        <v>5958</v>
      </c>
      <c r="N115" s="1" t="s">
        <v>5971</v>
      </c>
      <c r="P115" s="1" t="s">
        <v>5979</v>
      </c>
      <c r="Q115" s="3">
        <v>0</v>
      </c>
      <c r="S115" s="23" t="s">
        <v>5949</v>
      </c>
      <c r="W115" s="45" t="str">
        <f>HYPERLINK("http://ictvonline.org/taxonomy/p/taxonomy-history?taxnode_id=201855579","ICTVonline=201855579")</f>
        <v>ICTVonline=201855579</v>
      </c>
      <c r="AA115" s="1">
        <v>201850000</v>
      </c>
      <c r="AB115" s="1">
        <v>34</v>
      </c>
    </row>
    <row r="116" spans="1:28" x14ac:dyDescent="0.15">
      <c r="A116" s="1">
        <v>310</v>
      </c>
      <c r="B116" s="1" t="s">
        <v>7159</v>
      </c>
      <c r="F116" s="1" t="s">
        <v>5617</v>
      </c>
      <c r="G116" s="1" t="s">
        <v>5618</v>
      </c>
      <c r="H116" s="1" t="s">
        <v>5633</v>
      </c>
      <c r="J116" s="1" t="s">
        <v>1005</v>
      </c>
      <c r="L116" s="1" t="s">
        <v>1411</v>
      </c>
      <c r="M116" s="1" t="s">
        <v>5958</v>
      </c>
      <c r="N116" s="1" t="s">
        <v>5980</v>
      </c>
      <c r="P116" s="1" t="s">
        <v>5981</v>
      </c>
      <c r="Q116" s="3">
        <v>1</v>
      </c>
      <c r="S116" s="23" t="s">
        <v>5949</v>
      </c>
      <c r="W116" s="45" t="str">
        <f>HYPERLINK("http://ictvonline.org/taxonomy/p/taxonomy-history?taxnode_id=201851593","ICTVonline=201851593")</f>
        <v>ICTVonline=201851593</v>
      </c>
      <c r="AA116" s="1">
        <v>201850000</v>
      </c>
      <c r="AB116" s="1">
        <v>34</v>
      </c>
    </row>
    <row r="117" spans="1:28" x14ac:dyDescent="0.15">
      <c r="A117" s="1">
        <v>312</v>
      </c>
      <c r="B117" s="1" t="s">
        <v>7159</v>
      </c>
      <c r="F117" s="1" t="s">
        <v>5617</v>
      </c>
      <c r="G117" s="1" t="s">
        <v>5618</v>
      </c>
      <c r="H117" s="1" t="s">
        <v>5633</v>
      </c>
      <c r="J117" s="1" t="s">
        <v>1005</v>
      </c>
      <c r="L117" s="1" t="s">
        <v>1411</v>
      </c>
      <c r="M117" s="1" t="s">
        <v>5958</v>
      </c>
      <c r="N117" s="1" t="s">
        <v>5980</v>
      </c>
      <c r="P117" s="1" t="s">
        <v>5982</v>
      </c>
      <c r="Q117" s="3">
        <v>0</v>
      </c>
      <c r="S117" s="23" t="s">
        <v>5949</v>
      </c>
      <c r="W117" s="45" t="str">
        <f>HYPERLINK("http://ictvonline.org/taxonomy/p/taxonomy-history?taxnode_id=201851594","ICTVonline=201851594")</f>
        <v>ICTVonline=201851594</v>
      </c>
      <c r="AA117" s="1">
        <v>201850000</v>
      </c>
      <c r="AB117" s="1">
        <v>34</v>
      </c>
    </row>
    <row r="118" spans="1:28" x14ac:dyDescent="0.15">
      <c r="A118" s="1">
        <v>318</v>
      </c>
      <c r="B118" s="1" t="s">
        <v>7159</v>
      </c>
      <c r="F118" s="1" t="s">
        <v>5617</v>
      </c>
      <c r="G118" s="1" t="s">
        <v>5618</v>
      </c>
      <c r="H118" s="1" t="s">
        <v>5633</v>
      </c>
      <c r="J118" s="1" t="s">
        <v>1005</v>
      </c>
      <c r="L118" s="1" t="s">
        <v>1411</v>
      </c>
      <c r="M118" s="1" t="s">
        <v>5983</v>
      </c>
      <c r="N118" s="1" t="s">
        <v>5984</v>
      </c>
      <c r="P118" s="1" t="s">
        <v>5985</v>
      </c>
      <c r="Q118" s="3">
        <v>1</v>
      </c>
      <c r="S118" s="23" t="s">
        <v>5949</v>
      </c>
      <c r="T118" s="23" t="s">
        <v>4929</v>
      </c>
      <c r="U118" s="3">
        <v>34</v>
      </c>
      <c r="V118" s="3" t="s">
        <v>5970</v>
      </c>
      <c r="W118" s="45" t="str">
        <f>HYPERLINK("http://ictvonline.org/taxonomy/p/taxonomy-history?taxnode_id=201856472","ICTVonline=201856472")</f>
        <v>ICTVonline=201856472</v>
      </c>
      <c r="AA118" s="1">
        <v>201850000</v>
      </c>
      <c r="AB118" s="1">
        <v>34</v>
      </c>
    </row>
    <row r="119" spans="1:28" x14ac:dyDescent="0.15">
      <c r="A119" s="1">
        <v>324</v>
      </c>
      <c r="B119" s="1" t="s">
        <v>7159</v>
      </c>
      <c r="F119" s="1" t="s">
        <v>5617</v>
      </c>
      <c r="G119" s="1" t="s">
        <v>5618</v>
      </c>
      <c r="H119" s="1" t="s">
        <v>5633</v>
      </c>
      <c r="J119" s="1" t="s">
        <v>1005</v>
      </c>
      <c r="L119" s="1" t="s">
        <v>1411</v>
      </c>
      <c r="M119" s="1" t="s">
        <v>5986</v>
      </c>
      <c r="N119" s="1" t="s">
        <v>1347</v>
      </c>
      <c r="P119" s="1" t="s">
        <v>4937</v>
      </c>
      <c r="Q119" s="3">
        <v>1</v>
      </c>
      <c r="S119" s="23" t="s">
        <v>5949</v>
      </c>
      <c r="T119" s="23" t="s">
        <v>4931</v>
      </c>
      <c r="U119" s="3">
        <v>34</v>
      </c>
      <c r="W119" s="45" t="str">
        <f>HYPERLINK("http://ictvonline.org/taxonomy/p/taxonomy-history?taxnode_id=201851589","ICTVonline=201851589")</f>
        <v>ICTVonline=201851589</v>
      </c>
      <c r="AA119" s="1">
        <v>201850000</v>
      </c>
      <c r="AB119" s="1">
        <v>34</v>
      </c>
    </row>
    <row r="120" spans="1:28" x14ac:dyDescent="0.15">
      <c r="A120" s="1">
        <v>328</v>
      </c>
      <c r="B120" s="1" t="s">
        <v>7159</v>
      </c>
      <c r="F120" s="1" t="s">
        <v>5617</v>
      </c>
      <c r="G120" s="1" t="s">
        <v>5618</v>
      </c>
      <c r="H120" s="1" t="s">
        <v>5633</v>
      </c>
      <c r="J120" s="1" t="s">
        <v>1005</v>
      </c>
      <c r="L120" s="1" t="s">
        <v>1411</v>
      </c>
      <c r="M120" s="1" t="s">
        <v>5986</v>
      </c>
      <c r="N120" s="1" t="s">
        <v>1348</v>
      </c>
      <c r="P120" s="1" t="s">
        <v>4938</v>
      </c>
      <c r="Q120" s="3">
        <v>1</v>
      </c>
      <c r="S120" s="23" t="s">
        <v>5949</v>
      </c>
      <c r="T120" s="23" t="s">
        <v>4931</v>
      </c>
      <c r="U120" s="3">
        <v>34</v>
      </c>
      <c r="W120" s="45" t="str">
        <f>HYPERLINK("http://ictvonline.org/taxonomy/p/taxonomy-history?taxnode_id=201851605","ICTVonline=201851605")</f>
        <v>ICTVonline=201851605</v>
      </c>
      <c r="AA120" s="1">
        <v>201850000</v>
      </c>
      <c r="AB120" s="1">
        <v>34</v>
      </c>
    </row>
    <row r="121" spans="1:28" x14ac:dyDescent="0.15">
      <c r="A121" s="1">
        <v>332</v>
      </c>
      <c r="B121" s="1" t="s">
        <v>7159</v>
      </c>
      <c r="F121" s="1" t="s">
        <v>5617</v>
      </c>
      <c r="G121" s="1" t="s">
        <v>5618</v>
      </c>
      <c r="H121" s="1" t="s">
        <v>5633</v>
      </c>
      <c r="J121" s="1" t="s">
        <v>1005</v>
      </c>
      <c r="L121" s="1" t="s">
        <v>1411</v>
      </c>
      <c r="M121" s="1" t="s">
        <v>5986</v>
      </c>
      <c r="N121" s="1" t="s">
        <v>1324</v>
      </c>
      <c r="P121" s="1" t="s">
        <v>3550</v>
      </c>
      <c r="Q121" s="3">
        <v>0</v>
      </c>
      <c r="S121" s="23" t="s">
        <v>5949</v>
      </c>
      <c r="T121" s="23" t="s">
        <v>4931</v>
      </c>
      <c r="U121" s="3">
        <v>34</v>
      </c>
      <c r="W121" s="45" t="str">
        <f>HYPERLINK("http://ictvonline.org/taxonomy/p/taxonomy-history?taxnode_id=201851607","ICTVonline=201851607")</f>
        <v>ICTVonline=201851607</v>
      </c>
      <c r="AA121" s="1">
        <v>201850000</v>
      </c>
      <c r="AB121" s="1">
        <v>34</v>
      </c>
    </row>
    <row r="122" spans="1:28" x14ac:dyDescent="0.15">
      <c r="A122" s="1">
        <v>334</v>
      </c>
      <c r="B122" s="1" t="s">
        <v>7159</v>
      </c>
      <c r="F122" s="1" t="s">
        <v>5617</v>
      </c>
      <c r="G122" s="1" t="s">
        <v>5618</v>
      </c>
      <c r="H122" s="1" t="s">
        <v>5633</v>
      </c>
      <c r="J122" s="1" t="s">
        <v>1005</v>
      </c>
      <c r="L122" s="1" t="s">
        <v>1411</v>
      </c>
      <c r="M122" s="1" t="s">
        <v>5986</v>
      </c>
      <c r="N122" s="1" t="s">
        <v>1324</v>
      </c>
      <c r="P122" s="1" t="s">
        <v>3551</v>
      </c>
      <c r="Q122" s="3">
        <v>0</v>
      </c>
      <c r="S122" s="23" t="s">
        <v>5949</v>
      </c>
      <c r="T122" s="23" t="s">
        <v>4931</v>
      </c>
      <c r="U122" s="3">
        <v>34</v>
      </c>
      <c r="W122" s="45" t="str">
        <f>HYPERLINK("http://ictvonline.org/taxonomy/p/taxonomy-history?taxnode_id=201851608","ICTVonline=201851608")</f>
        <v>ICTVonline=201851608</v>
      </c>
      <c r="AA122" s="1">
        <v>201850000</v>
      </c>
      <c r="AB122" s="1">
        <v>34</v>
      </c>
    </row>
    <row r="123" spans="1:28" x14ac:dyDescent="0.15">
      <c r="A123" s="1">
        <v>336</v>
      </c>
      <c r="B123" s="1" t="s">
        <v>7159</v>
      </c>
      <c r="F123" s="1" t="s">
        <v>5617</v>
      </c>
      <c r="G123" s="1" t="s">
        <v>5618</v>
      </c>
      <c r="H123" s="1" t="s">
        <v>5633</v>
      </c>
      <c r="J123" s="1" t="s">
        <v>1005</v>
      </c>
      <c r="L123" s="1" t="s">
        <v>1411</v>
      </c>
      <c r="M123" s="1" t="s">
        <v>5986</v>
      </c>
      <c r="N123" s="1" t="s">
        <v>1324</v>
      </c>
      <c r="P123" s="1" t="s">
        <v>4939</v>
      </c>
      <c r="Q123" s="3">
        <v>1</v>
      </c>
      <c r="S123" s="23" t="s">
        <v>5949</v>
      </c>
      <c r="T123" s="23" t="s">
        <v>4931</v>
      </c>
      <c r="U123" s="3">
        <v>34</v>
      </c>
      <c r="W123" s="45" t="str">
        <f>HYPERLINK("http://ictvonline.org/taxonomy/p/taxonomy-history?taxnode_id=201851609","ICTVonline=201851609")</f>
        <v>ICTVonline=201851609</v>
      </c>
      <c r="AA123" s="1">
        <v>201850000</v>
      </c>
      <c r="AB123" s="1">
        <v>34</v>
      </c>
    </row>
    <row r="124" spans="1:28" x14ac:dyDescent="0.15">
      <c r="A124" s="1">
        <v>338</v>
      </c>
      <c r="B124" s="1" t="s">
        <v>7159</v>
      </c>
      <c r="F124" s="1" t="s">
        <v>5617</v>
      </c>
      <c r="G124" s="1" t="s">
        <v>5618</v>
      </c>
      <c r="H124" s="1" t="s">
        <v>5633</v>
      </c>
      <c r="J124" s="1" t="s">
        <v>1005</v>
      </c>
      <c r="L124" s="1" t="s">
        <v>1411</v>
      </c>
      <c r="M124" s="1" t="s">
        <v>5986</v>
      </c>
      <c r="N124" s="1" t="s">
        <v>1324</v>
      </c>
      <c r="P124" s="1" t="s">
        <v>3552</v>
      </c>
      <c r="Q124" s="3">
        <v>0</v>
      </c>
      <c r="S124" s="23" t="s">
        <v>5949</v>
      </c>
      <c r="T124" s="23" t="s">
        <v>4931</v>
      </c>
      <c r="U124" s="3">
        <v>34</v>
      </c>
      <c r="W124" s="45" t="str">
        <f>HYPERLINK("http://ictvonline.org/taxonomy/p/taxonomy-history?taxnode_id=201851610","ICTVonline=201851610")</f>
        <v>ICTVonline=201851610</v>
      </c>
      <c r="AA124" s="1">
        <v>201850000</v>
      </c>
      <c r="AB124" s="1">
        <v>34</v>
      </c>
    </row>
    <row r="125" spans="1:28" x14ac:dyDescent="0.15">
      <c r="A125" s="1">
        <v>340</v>
      </c>
      <c r="B125" s="1" t="s">
        <v>7159</v>
      </c>
      <c r="F125" s="1" t="s">
        <v>5617</v>
      </c>
      <c r="G125" s="1" t="s">
        <v>5618</v>
      </c>
      <c r="H125" s="1" t="s">
        <v>5633</v>
      </c>
      <c r="J125" s="1" t="s">
        <v>1005</v>
      </c>
      <c r="L125" s="1" t="s">
        <v>1411</v>
      </c>
      <c r="M125" s="1" t="s">
        <v>5986</v>
      </c>
      <c r="N125" s="1" t="s">
        <v>1324</v>
      </c>
      <c r="P125" s="1" t="s">
        <v>4940</v>
      </c>
      <c r="Q125" s="3">
        <v>0</v>
      </c>
      <c r="S125" s="23" t="s">
        <v>5949</v>
      </c>
      <c r="T125" s="23" t="s">
        <v>4931</v>
      </c>
      <c r="U125" s="3">
        <v>34</v>
      </c>
      <c r="W125" s="45" t="str">
        <f>HYPERLINK("http://ictvonline.org/taxonomy/p/taxonomy-history?taxnode_id=201851611","ICTVonline=201851611")</f>
        <v>ICTVonline=201851611</v>
      </c>
      <c r="AA125" s="1">
        <v>201850000</v>
      </c>
      <c r="AB125" s="1">
        <v>34</v>
      </c>
    </row>
    <row r="126" spans="1:28" x14ac:dyDescent="0.15">
      <c r="A126" s="1">
        <v>344</v>
      </c>
      <c r="B126" s="1" t="s">
        <v>7159</v>
      </c>
      <c r="F126" s="1" t="s">
        <v>5617</v>
      </c>
      <c r="G126" s="1" t="s">
        <v>5618</v>
      </c>
      <c r="H126" s="1" t="s">
        <v>5633</v>
      </c>
      <c r="J126" s="1" t="s">
        <v>1005</v>
      </c>
      <c r="L126" s="1" t="s">
        <v>1411</v>
      </c>
      <c r="M126" s="1" t="s">
        <v>5986</v>
      </c>
      <c r="N126" s="1" t="s">
        <v>5987</v>
      </c>
      <c r="P126" s="1" t="s">
        <v>5988</v>
      </c>
      <c r="Q126" s="3">
        <v>1</v>
      </c>
      <c r="S126" s="23" t="s">
        <v>5949</v>
      </c>
      <c r="T126" s="23" t="s">
        <v>4929</v>
      </c>
      <c r="U126" s="3">
        <v>34</v>
      </c>
      <c r="V126" s="3" t="s">
        <v>5970</v>
      </c>
      <c r="W126" s="45" t="str">
        <f>HYPERLINK("http://ictvonline.org/taxonomy/p/taxonomy-history?taxnode_id=201856453","ICTVonline=201856453")</f>
        <v>ICTVonline=201856453</v>
      </c>
      <c r="AA126" s="1">
        <v>201850000</v>
      </c>
      <c r="AB126" s="1">
        <v>34</v>
      </c>
    </row>
    <row r="127" spans="1:28" x14ac:dyDescent="0.15">
      <c r="A127" s="1">
        <v>346</v>
      </c>
      <c r="B127" s="1" t="s">
        <v>7159</v>
      </c>
      <c r="F127" s="1" t="s">
        <v>5617</v>
      </c>
      <c r="G127" s="1" t="s">
        <v>5618</v>
      </c>
      <c r="H127" s="1" t="s">
        <v>5633</v>
      </c>
      <c r="J127" s="1" t="s">
        <v>1005</v>
      </c>
      <c r="L127" s="1" t="s">
        <v>1411</v>
      </c>
      <c r="M127" s="1" t="s">
        <v>5986</v>
      </c>
      <c r="N127" s="1" t="s">
        <v>5987</v>
      </c>
      <c r="P127" s="1" t="s">
        <v>5989</v>
      </c>
      <c r="Q127" s="3">
        <v>0</v>
      </c>
      <c r="S127" s="23" t="s">
        <v>5949</v>
      </c>
      <c r="T127" s="23" t="s">
        <v>4929</v>
      </c>
      <c r="U127" s="3">
        <v>34</v>
      </c>
      <c r="V127" s="3" t="s">
        <v>5970</v>
      </c>
      <c r="W127" s="45" t="str">
        <f>HYPERLINK("http://ictvonline.org/taxonomy/p/taxonomy-history?taxnode_id=201856454","ICTVonline=201856454")</f>
        <v>ICTVonline=201856454</v>
      </c>
      <c r="AA127" s="1">
        <v>201850000</v>
      </c>
      <c r="AB127" s="1">
        <v>34</v>
      </c>
    </row>
    <row r="128" spans="1:28" x14ac:dyDescent="0.15">
      <c r="A128" s="1">
        <v>348</v>
      </c>
      <c r="B128" s="1" t="s">
        <v>7159</v>
      </c>
      <c r="F128" s="1" t="s">
        <v>5617</v>
      </c>
      <c r="G128" s="1" t="s">
        <v>5618</v>
      </c>
      <c r="H128" s="1" t="s">
        <v>5633</v>
      </c>
      <c r="J128" s="1" t="s">
        <v>1005</v>
      </c>
      <c r="L128" s="1" t="s">
        <v>1411</v>
      </c>
      <c r="M128" s="1" t="s">
        <v>5986</v>
      </c>
      <c r="N128" s="1" t="s">
        <v>5987</v>
      </c>
      <c r="P128" s="1" t="s">
        <v>5990</v>
      </c>
      <c r="Q128" s="3">
        <v>0</v>
      </c>
      <c r="S128" s="23" t="s">
        <v>5949</v>
      </c>
      <c r="T128" s="23" t="s">
        <v>4929</v>
      </c>
      <c r="U128" s="3">
        <v>34</v>
      </c>
      <c r="V128" s="3" t="s">
        <v>5970</v>
      </c>
      <c r="W128" s="45" t="str">
        <f>HYPERLINK("http://ictvonline.org/taxonomy/p/taxonomy-history?taxnode_id=201856455","ICTVonline=201856455")</f>
        <v>ICTVonline=201856455</v>
      </c>
      <c r="AA128" s="1">
        <v>201850000</v>
      </c>
      <c r="AB128" s="1">
        <v>34</v>
      </c>
    </row>
    <row r="129" spans="1:28" x14ac:dyDescent="0.15">
      <c r="A129" s="1">
        <v>350</v>
      </c>
      <c r="B129" s="1" t="s">
        <v>7159</v>
      </c>
      <c r="F129" s="1" t="s">
        <v>5617</v>
      </c>
      <c r="G129" s="1" t="s">
        <v>5618</v>
      </c>
      <c r="H129" s="1" t="s">
        <v>5633</v>
      </c>
      <c r="J129" s="1" t="s">
        <v>1005</v>
      </c>
      <c r="L129" s="1" t="s">
        <v>1411</v>
      </c>
      <c r="M129" s="1" t="s">
        <v>5986</v>
      </c>
      <c r="N129" s="1" t="s">
        <v>5987</v>
      </c>
      <c r="P129" s="1" t="s">
        <v>5991</v>
      </c>
      <c r="Q129" s="3">
        <v>0</v>
      </c>
      <c r="S129" s="23" t="s">
        <v>5949</v>
      </c>
      <c r="T129" s="23" t="s">
        <v>4929</v>
      </c>
      <c r="U129" s="3">
        <v>34</v>
      </c>
      <c r="V129" s="3" t="s">
        <v>5970</v>
      </c>
      <c r="W129" s="45" t="str">
        <f>HYPERLINK("http://ictvonline.org/taxonomy/p/taxonomy-history?taxnode_id=201856456","ICTVonline=201856456")</f>
        <v>ICTVonline=201856456</v>
      </c>
      <c r="AA129" s="1">
        <v>201850000</v>
      </c>
      <c r="AB129" s="1">
        <v>34</v>
      </c>
    </row>
    <row r="130" spans="1:28" x14ac:dyDescent="0.15">
      <c r="A130" s="1">
        <v>352</v>
      </c>
      <c r="B130" s="1" t="s">
        <v>7159</v>
      </c>
      <c r="F130" s="1" t="s">
        <v>5617</v>
      </c>
      <c r="G130" s="1" t="s">
        <v>5618</v>
      </c>
      <c r="H130" s="1" t="s">
        <v>5633</v>
      </c>
      <c r="J130" s="1" t="s">
        <v>1005</v>
      </c>
      <c r="L130" s="1" t="s">
        <v>1411</v>
      </c>
      <c r="M130" s="1" t="s">
        <v>5986</v>
      </c>
      <c r="N130" s="1" t="s">
        <v>5987</v>
      </c>
      <c r="P130" s="1" t="s">
        <v>5992</v>
      </c>
      <c r="Q130" s="3">
        <v>0</v>
      </c>
      <c r="S130" s="23" t="s">
        <v>5949</v>
      </c>
      <c r="T130" s="23" t="s">
        <v>4929</v>
      </c>
      <c r="U130" s="3">
        <v>34</v>
      </c>
      <c r="V130" s="3" t="s">
        <v>5970</v>
      </c>
      <c r="W130" s="45" t="str">
        <f>HYPERLINK("http://ictvonline.org/taxonomy/p/taxonomy-history?taxnode_id=201856457","ICTVonline=201856457")</f>
        <v>ICTVonline=201856457</v>
      </c>
      <c r="AA130" s="1">
        <v>201850000</v>
      </c>
      <c r="AB130" s="1">
        <v>34</v>
      </c>
    </row>
    <row r="131" spans="1:28" x14ac:dyDescent="0.15">
      <c r="A131" s="1">
        <v>354</v>
      </c>
      <c r="B131" s="1" t="s">
        <v>7159</v>
      </c>
      <c r="F131" s="1" t="s">
        <v>5617</v>
      </c>
      <c r="G131" s="1" t="s">
        <v>5618</v>
      </c>
      <c r="H131" s="1" t="s">
        <v>5633</v>
      </c>
      <c r="J131" s="1" t="s">
        <v>1005</v>
      </c>
      <c r="L131" s="1" t="s">
        <v>1411</v>
      </c>
      <c r="M131" s="1" t="s">
        <v>5986</v>
      </c>
      <c r="N131" s="1" t="s">
        <v>5987</v>
      </c>
      <c r="P131" s="1" t="s">
        <v>5993</v>
      </c>
      <c r="Q131" s="3">
        <v>0</v>
      </c>
      <c r="S131" s="23" t="s">
        <v>5949</v>
      </c>
      <c r="T131" s="23" t="s">
        <v>4929</v>
      </c>
      <c r="U131" s="3">
        <v>34</v>
      </c>
      <c r="V131" s="3" t="s">
        <v>5970</v>
      </c>
      <c r="W131" s="45" t="str">
        <f>HYPERLINK("http://ictvonline.org/taxonomy/p/taxonomy-history?taxnode_id=201856458","ICTVonline=201856458")</f>
        <v>ICTVonline=201856458</v>
      </c>
      <c r="AA131" s="1">
        <v>201850000</v>
      </c>
      <c r="AB131" s="1">
        <v>34</v>
      </c>
    </row>
    <row r="132" spans="1:28" x14ac:dyDescent="0.15">
      <c r="A132" s="1">
        <v>358</v>
      </c>
      <c r="B132" s="1" t="s">
        <v>7159</v>
      </c>
      <c r="F132" s="1" t="s">
        <v>5617</v>
      </c>
      <c r="G132" s="1" t="s">
        <v>5618</v>
      </c>
      <c r="H132" s="1" t="s">
        <v>5633</v>
      </c>
      <c r="J132" s="1" t="s">
        <v>1005</v>
      </c>
      <c r="L132" s="1" t="s">
        <v>1411</v>
      </c>
      <c r="M132" s="1" t="s">
        <v>5986</v>
      </c>
      <c r="N132" s="1" t="s">
        <v>1325</v>
      </c>
      <c r="P132" s="1" t="s">
        <v>4941</v>
      </c>
      <c r="Q132" s="3">
        <v>0</v>
      </c>
      <c r="S132" s="23" t="s">
        <v>5949</v>
      </c>
      <c r="T132" s="23" t="s">
        <v>4931</v>
      </c>
      <c r="U132" s="3">
        <v>34</v>
      </c>
      <c r="W132" s="45" t="str">
        <f>HYPERLINK("http://ictvonline.org/taxonomy/p/taxonomy-history?taxnode_id=201851613","ICTVonline=201851613")</f>
        <v>ICTVonline=201851613</v>
      </c>
      <c r="AA132" s="1">
        <v>201850000</v>
      </c>
      <c r="AB132" s="1">
        <v>34</v>
      </c>
    </row>
    <row r="133" spans="1:28" x14ac:dyDescent="0.15">
      <c r="A133" s="1">
        <v>360</v>
      </c>
      <c r="B133" s="1" t="s">
        <v>7159</v>
      </c>
      <c r="F133" s="1" t="s">
        <v>5617</v>
      </c>
      <c r="G133" s="1" t="s">
        <v>5618</v>
      </c>
      <c r="H133" s="1" t="s">
        <v>5633</v>
      </c>
      <c r="J133" s="1" t="s">
        <v>1005</v>
      </c>
      <c r="L133" s="1" t="s">
        <v>1411</v>
      </c>
      <c r="M133" s="1" t="s">
        <v>5986</v>
      </c>
      <c r="N133" s="1" t="s">
        <v>1325</v>
      </c>
      <c r="P133" s="1" t="s">
        <v>1326</v>
      </c>
      <c r="Q133" s="3">
        <v>0</v>
      </c>
      <c r="S133" s="23" t="s">
        <v>5949</v>
      </c>
      <c r="T133" s="23" t="s">
        <v>4931</v>
      </c>
      <c r="U133" s="3">
        <v>34</v>
      </c>
      <c r="W133" s="45" t="str">
        <f>HYPERLINK("http://ictvonline.org/taxonomy/p/taxonomy-history?taxnode_id=201851614","ICTVonline=201851614")</f>
        <v>ICTVonline=201851614</v>
      </c>
      <c r="AA133" s="1">
        <v>201850000</v>
      </c>
      <c r="AB133" s="1">
        <v>34</v>
      </c>
    </row>
    <row r="134" spans="1:28" x14ac:dyDescent="0.15">
      <c r="A134" s="1">
        <v>362</v>
      </c>
      <c r="B134" s="1" t="s">
        <v>7159</v>
      </c>
      <c r="F134" s="1" t="s">
        <v>5617</v>
      </c>
      <c r="G134" s="1" t="s">
        <v>5618</v>
      </c>
      <c r="H134" s="1" t="s">
        <v>5633</v>
      </c>
      <c r="J134" s="1" t="s">
        <v>1005</v>
      </c>
      <c r="L134" s="1" t="s">
        <v>1411</v>
      </c>
      <c r="M134" s="1" t="s">
        <v>5986</v>
      </c>
      <c r="N134" s="1" t="s">
        <v>1325</v>
      </c>
      <c r="P134" s="1" t="s">
        <v>3553</v>
      </c>
      <c r="Q134" s="3">
        <v>0</v>
      </c>
      <c r="S134" s="23" t="s">
        <v>5949</v>
      </c>
      <c r="T134" s="23" t="s">
        <v>4931</v>
      </c>
      <c r="U134" s="3">
        <v>34</v>
      </c>
      <c r="W134" s="45" t="str">
        <f>HYPERLINK("http://ictvonline.org/taxonomy/p/taxonomy-history?taxnode_id=201851615","ICTVonline=201851615")</f>
        <v>ICTVonline=201851615</v>
      </c>
      <c r="AA134" s="1">
        <v>201850000</v>
      </c>
      <c r="AB134" s="1">
        <v>34</v>
      </c>
    </row>
    <row r="135" spans="1:28" x14ac:dyDescent="0.15">
      <c r="A135" s="1">
        <v>364</v>
      </c>
      <c r="B135" s="1" t="s">
        <v>7159</v>
      </c>
      <c r="F135" s="1" t="s">
        <v>5617</v>
      </c>
      <c r="G135" s="1" t="s">
        <v>5618</v>
      </c>
      <c r="H135" s="1" t="s">
        <v>5633</v>
      </c>
      <c r="J135" s="1" t="s">
        <v>1005</v>
      </c>
      <c r="L135" s="1" t="s">
        <v>1411</v>
      </c>
      <c r="M135" s="1" t="s">
        <v>5986</v>
      </c>
      <c r="N135" s="1" t="s">
        <v>1325</v>
      </c>
      <c r="P135" s="1" t="s">
        <v>4942</v>
      </c>
      <c r="Q135" s="3">
        <v>1</v>
      </c>
      <c r="S135" s="23" t="s">
        <v>5949</v>
      </c>
      <c r="T135" s="23" t="s">
        <v>4931</v>
      </c>
      <c r="U135" s="3">
        <v>34</v>
      </c>
      <c r="W135" s="45" t="str">
        <f>HYPERLINK("http://ictvonline.org/taxonomy/p/taxonomy-history?taxnode_id=201851616","ICTVonline=201851616")</f>
        <v>ICTVonline=201851616</v>
      </c>
      <c r="AA135" s="1">
        <v>201850000</v>
      </c>
      <c r="AB135" s="1">
        <v>34</v>
      </c>
    </row>
    <row r="136" spans="1:28" x14ac:dyDescent="0.15">
      <c r="A136" s="1">
        <v>366</v>
      </c>
      <c r="B136" s="1" t="s">
        <v>7159</v>
      </c>
      <c r="F136" s="1" t="s">
        <v>5617</v>
      </c>
      <c r="G136" s="1" t="s">
        <v>5618</v>
      </c>
      <c r="H136" s="1" t="s">
        <v>5633</v>
      </c>
      <c r="J136" s="1" t="s">
        <v>1005</v>
      </c>
      <c r="L136" s="1" t="s">
        <v>1411</v>
      </c>
      <c r="M136" s="1" t="s">
        <v>5986</v>
      </c>
      <c r="N136" s="1" t="s">
        <v>1325</v>
      </c>
      <c r="P136" s="1" t="s">
        <v>4943</v>
      </c>
      <c r="Q136" s="3">
        <v>0</v>
      </c>
      <c r="S136" s="23" t="s">
        <v>5949</v>
      </c>
      <c r="T136" s="23" t="s">
        <v>4931</v>
      </c>
      <c r="U136" s="3">
        <v>34</v>
      </c>
      <c r="W136" s="45" t="str">
        <f>HYPERLINK("http://ictvonline.org/taxonomy/p/taxonomy-history?taxnode_id=201851617","ICTVonline=201851617")</f>
        <v>ICTVonline=201851617</v>
      </c>
      <c r="AA136" s="1">
        <v>201850000</v>
      </c>
      <c r="AB136" s="1">
        <v>34</v>
      </c>
    </row>
    <row r="137" spans="1:28" x14ac:dyDescent="0.15">
      <c r="A137" s="1">
        <v>368</v>
      </c>
      <c r="B137" s="1" t="s">
        <v>7159</v>
      </c>
      <c r="F137" s="1" t="s">
        <v>5617</v>
      </c>
      <c r="G137" s="1" t="s">
        <v>5618</v>
      </c>
      <c r="H137" s="1" t="s">
        <v>5633</v>
      </c>
      <c r="J137" s="1" t="s">
        <v>1005</v>
      </c>
      <c r="L137" s="1" t="s">
        <v>1411</v>
      </c>
      <c r="M137" s="1" t="s">
        <v>5986</v>
      </c>
      <c r="N137" s="1" t="s">
        <v>1325</v>
      </c>
      <c r="P137" s="1" t="s">
        <v>4944</v>
      </c>
      <c r="Q137" s="3">
        <v>0</v>
      </c>
      <c r="S137" s="23" t="s">
        <v>5949</v>
      </c>
      <c r="T137" s="23" t="s">
        <v>4931</v>
      </c>
      <c r="U137" s="3">
        <v>34</v>
      </c>
      <c r="W137" s="45" t="str">
        <f>HYPERLINK("http://ictvonline.org/taxonomy/p/taxonomy-history?taxnode_id=201851618","ICTVonline=201851618")</f>
        <v>ICTVonline=201851618</v>
      </c>
      <c r="AA137" s="1">
        <v>201850000</v>
      </c>
      <c r="AB137" s="1">
        <v>34</v>
      </c>
    </row>
    <row r="138" spans="1:28" x14ac:dyDescent="0.15">
      <c r="A138" s="1">
        <v>370</v>
      </c>
      <c r="B138" s="1" t="s">
        <v>7159</v>
      </c>
      <c r="F138" s="1" t="s">
        <v>5617</v>
      </c>
      <c r="G138" s="1" t="s">
        <v>5618</v>
      </c>
      <c r="H138" s="1" t="s">
        <v>5633</v>
      </c>
      <c r="J138" s="1" t="s">
        <v>1005</v>
      </c>
      <c r="L138" s="1" t="s">
        <v>1411</v>
      </c>
      <c r="M138" s="1" t="s">
        <v>5986</v>
      </c>
      <c r="N138" s="1" t="s">
        <v>1325</v>
      </c>
      <c r="P138" s="1" t="s">
        <v>4945</v>
      </c>
      <c r="Q138" s="3">
        <v>0</v>
      </c>
      <c r="S138" s="23" t="s">
        <v>5949</v>
      </c>
      <c r="T138" s="23" t="s">
        <v>4931</v>
      </c>
      <c r="U138" s="3">
        <v>34</v>
      </c>
      <c r="W138" s="45" t="str">
        <f>HYPERLINK("http://ictvonline.org/taxonomy/p/taxonomy-history?taxnode_id=201851619","ICTVonline=201851619")</f>
        <v>ICTVonline=201851619</v>
      </c>
      <c r="AA138" s="1">
        <v>201850000</v>
      </c>
      <c r="AB138" s="1">
        <v>34</v>
      </c>
    </row>
    <row r="139" spans="1:28" x14ac:dyDescent="0.15">
      <c r="A139" s="1">
        <v>374</v>
      </c>
      <c r="B139" s="1" t="s">
        <v>7159</v>
      </c>
      <c r="F139" s="1" t="s">
        <v>5617</v>
      </c>
      <c r="G139" s="1" t="s">
        <v>5618</v>
      </c>
      <c r="H139" s="1" t="s">
        <v>5633</v>
      </c>
      <c r="J139" s="1" t="s">
        <v>1005</v>
      </c>
      <c r="L139" s="1" t="s">
        <v>1411</v>
      </c>
      <c r="M139" s="1" t="s">
        <v>5986</v>
      </c>
      <c r="N139" s="1" t="s">
        <v>5994</v>
      </c>
      <c r="P139" s="1" t="s">
        <v>5995</v>
      </c>
      <c r="Q139" s="3">
        <v>0</v>
      </c>
      <c r="S139" s="23" t="s">
        <v>5949</v>
      </c>
      <c r="T139" s="23" t="s">
        <v>4929</v>
      </c>
      <c r="U139" s="3">
        <v>34</v>
      </c>
      <c r="V139" s="3" t="s">
        <v>5970</v>
      </c>
      <c r="W139" s="45" t="str">
        <f>HYPERLINK("http://ictvonline.org/taxonomy/p/taxonomy-history?taxnode_id=201856460","ICTVonline=201856460")</f>
        <v>ICTVonline=201856460</v>
      </c>
      <c r="AA139" s="1">
        <v>201850000</v>
      </c>
      <c r="AB139" s="1">
        <v>34</v>
      </c>
    </row>
    <row r="140" spans="1:28" x14ac:dyDescent="0.15">
      <c r="A140" s="1">
        <v>376</v>
      </c>
      <c r="B140" s="1" t="s">
        <v>7159</v>
      </c>
      <c r="F140" s="1" t="s">
        <v>5617</v>
      </c>
      <c r="G140" s="1" t="s">
        <v>5618</v>
      </c>
      <c r="H140" s="1" t="s">
        <v>5633</v>
      </c>
      <c r="J140" s="1" t="s">
        <v>1005</v>
      </c>
      <c r="L140" s="1" t="s">
        <v>1411</v>
      </c>
      <c r="M140" s="1" t="s">
        <v>5986</v>
      </c>
      <c r="N140" s="1" t="s">
        <v>5994</v>
      </c>
      <c r="P140" s="1" t="s">
        <v>5996</v>
      </c>
      <c r="Q140" s="3">
        <v>0</v>
      </c>
      <c r="S140" s="23" t="s">
        <v>5949</v>
      </c>
      <c r="T140" s="23" t="s">
        <v>4929</v>
      </c>
      <c r="U140" s="3">
        <v>34</v>
      </c>
      <c r="V140" s="3" t="s">
        <v>5970</v>
      </c>
      <c r="W140" s="45" t="str">
        <f>HYPERLINK("http://ictvonline.org/taxonomy/p/taxonomy-history?taxnode_id=201856461","ICTVonline=201856461")</f>
        <v>ICTVonline=201856461</v>
      </c>
      <c r="AA140" s="1">
        <v>201850000</v>
      </c>
      <c r="AB140" s="1">
        <v>34</v>
      </c>
    </row>
    <row r="141" spans="1:28" x14ac:dyDescent="0.15">
      <c r="A141" s="1">
        <v>378</v>
      </c>
      <c r="B141" s="1" t="s">
        <v>7159</v>
      </c>
      <c r="F141" s="1" t="s">
        <v>5617</v>
      </c>
      <c r="G141" s="1" t="s">
        <v>5618</v>
      </c>
      <c r="H141" s="1" t="s">
        <v>5633</v>
      </c>
      <c r="J141" s="1" t="s">
        <v>1005</v>
      </c>
      <c r="L141" s="1" t="s">
        <v>1411</v>
      </c>
      <c r="M141" s="1" t="s">
        <v>5986</v>
      </c>
      <c r="N141" s="1" t="s">
        <v>5994</v>
      </c>
      <c r="P141" s="1" t="s">
        <v>5997</v>
      </c>
      <c r="Q141" s="3">
        <v>1</v>
      </c>
      <c r="S141" s="23" t="s">
        <v>5949</v>
      </c>
      <c r="T141" s="23" t="s">
        <v>4929</v>
      </c>
      <c r="U141" s="3">
        <v>34</v>
      </c>
      <c r="V141" s="3" t="s">
        <v>5970</v>
      </c>
      <c r="W141" s="45" t="str">
        <f>HYPERLINK("http://ictvonline.org/taxonomy/p/taxonomy-history?taxnode_id=201856462","ICTVonline=201856462")</f>
        <v>ICTVonline=201856462</v>
      </c>
      <c r="AA141" s="1">
        <v>201850000</v>
      </c>
      <c r="AB141" s="1">
        <v>34</v>
      </c>
    </row>
    <row r="142" spans="1:28" x14ac:dyDescent="0.15">
      <c r="A142" s="1">
        <v>380</v>
      </c>
      <c r="B142" s="1" t="s">
        <v>7159</v>
      </c>
      <c r="F142" s="1" t="s">
        <v>5617</v>
      </c>
      <c r="G142" s="1" t="s">
        <v>5618</v>
      </c>
      <c r="H142" s="1" t="s">
        <v>5633</v>
      </c>
      <c r="J142" s="1" t="s">
        <v>1005</v>
      </c>
      <c r="L142" s="1" t="s">
        <v>1411</v>
      </c>
      <c r="M142" s="1" t="s">
        <v>5986</v>
      </c>
      <c r="N142" s="1" t="s">
        <v>5994</v>
      </c>
      <c r="P142" s="1" t="s">
        <v>5998</v>
      </c>
      <c r="Q142" s="3">
        <v>0</v>
      </c>
      <c r="S142" s="23" t="s">
        <v>5949</v>
      </c>
      <c r="T142" s="23" t="s">
        <v>4929</v>
      </c>
      <c r="U142" s="3">
        <v>34</v>
      </c>
      <c r="V142" s="3" t="s">
        <v>5970</v>
      </c>
      <c r="W142" s="45" t="str">
        <f>HYPERLINK("http://ictvonline.org/taxonomy/p/taxonomy-history?taxnode_id=201856463","ICTVonline=201856463")</f>
        <v>ICTVonline=201856463</v>
      </c>
      <c r="AA142" s="1">
        <v>201850000</v>
      </c>
      <c r="AB142" s="1">
        <v>34</v>
      </c>
    </row>
    <row r="143" spans="1:28" x14ac:dyDescent="0.15">
      <c r="A143" s="1">
        <v>384</v>
      </c>
      <c r="B143" s="1" t="s">
        <v>7159</v>
      </c>
      <c r="F143" s="1" t="s">
        <v>5617</v>
      </c>
      <c r="G143" s="1" t="s">
        <v>5618</v>
      </c>
      <c r="H143" s="1" t="s">
        <v>5633</v>
      </c>
      <c r="J143" s="1" t="s">
        <v>1005</v>
      </c>
      <c r="L143" s="1" t="s">
        <v>1411</v>
      </c>
      <c r="M143" s="1" t="s">
        <v>5986</v>
      </c>
      <c r="N143" s="1" t="s">
        <v>1327</v>
      </c>
      <c r="P143" s="1" t="s">
        <v>4946</v>
      </c>
      <c r="Q143" s="3">
        <v>0</v>
      </c>
      <c r="S143" s="23" t="s">
        <v>5949</v>
      </c>
      <c r="T143" s="23" t="s">
        <v>4931</v>
      </c>
      <c r="U143" s="3">
        <v>34</v>
      </c>
      <c r="W143" s="45" t="str">
        <f>HYPERLINK("http://ictvonline.org/taxonomy/p/taxonomy-history?taxnode_id=201851621","ICTVonline=201851621")</f>
        <v>ICTVonline=201851621</v>
      </c>
      <c r="AA143" s="1">
        <v>201850000</v>
      </c>
      <c r="AB143" s="1">
        <v>34</v>
      </c>
    </row>
    <row r="144" spans="1:28" x14ac:dyDescent="0.15">
      <c r="A144" s="1">
        <v>386</v>
      </c>
      <c r="B144" s="1" t="s">
        <v>7159</v>
      </c>
      <c r="F144" s="1" t="s">
        <v>5617</v>
      </c>
      <c r="G144" s="1" t="s">
        <v>5618</v>
      </c>
      <c r="H144" s="1" t="s">
        <v>5633</v>
      </c>
      <c r="J144" s="1" t="s">
        <v>1005</v>
      </c>
      <c r="L144" s="1" t="s">
        <v>1411</v>
      </c>
      <c r="M144" s="1" t="s">
        <v>5986</v>
      </c>
      <c r="N144" s="1" t="s">
        <v>1327</v>
      </c>
      <c r="P144" s="1" t="s">
        <v>5999</v>
      </c>
      <c r="Q144" s="3">
        <v>0</v>
      </c>
      <c r="S144" s="23" t="s">
        <v>5949</v>
      </c>
      <c r="T144" s="23" t="s">
        <v>4929</v>
      </c>
      <c r="U144" s="3">
        <v>34</v>
      </c>
      <c r="V144" s="3" t="s">
        <v>5970</v>
      </c>
      <c r="W144" s="45" t="str">
        <f>HYPERLINK("http://ictvonline.org/taxonomy/p/taxonomy-history?taxnode_id=201856464","ICTVonline=201856464")</f>
        <v>ICTVonline=201856464</v>
      </c>
      <c r="AA144" s="1">
        <v>201850000</v>
      </c>
      <c r="AB144" s="1">
        <v>34</v>
      </c>
    </row>
    <row r="145" spans="1:28" x14ac:dyDescent="0.15">
      <c r="A145" s="1">
        <v>388</v>
      </c>
      <c r="B145" s="1" t="s">
        <v>7159</v>
      </c>
      <c r="F145" s="1" t="s">
        <v>5617</v>
      </c>
      <c r="G145" s="1" t="s">
        <v>5618</v>
      </c>
      <c r="H145" s="1" t="s">
        <v>5633</v>
      </c>
      <c r="J145" s="1" t="s">
        <v>1005</v>
      </c>
      <c r="L145" s="1" t="s">
        <v>1411</v>
      </c>
      <c r="M145" s="1" t="s">
        <v>5986</v>
      </c>
      <c r="N145" s="1" t="s">
        <v>1327</v>
      </c>
      <c r="P145" s="1" t="s">
        <v>4947</v>
      </c>
      <c r="Q145" s="3">
        <v>0</v>
      </c>
      <c r="S145" s="23" t="s">
        <v>5949</v>
      </c>
      <c r="T145" s="23" t="s">
        <v>4931</v>
      </c>
      <c r="U145" s="3">
        <v>34</v>
      </c>
      <c r="W145" s="45" t="str">
        <f>HYPERLINK("http://ictvonline.org/taxonomy/p/taxonomy-history?taxnode_id=201851622","ICTVonline=201851622")</f>
        <v>ICTVonline=201851622</v>
      </c>
      <c r="AA145" s="1">
        <v>201850000</v>
      </c>
      <c r="AB145" s="1">
        <v>34</v>
      </c>
    </row>
    <row r="146" spans="1:28" x14ac:dyDescent="0.15">
      <c r="A146" s="1">
        <v>390</v>
      </c>
      <c r="B146" s="1" t="s">
        <v>7159</v>
      </c>
      <c r="F146" s="1" t="s">
        <v>5617</v>
      </c>
      <c r="G146" s="1" t="s">
        <v>5618</v>
      </c>
      <c r="H146" s="1" t="s">
        <v>5633</v>
      </c>
      <c r="J146" s="1" t="s">
        <v>1005</v>
      </c>
      <c r="L146" s="1" t="s">
        <v>1411</v>
      </c>
      <c r="M146" s="1" t="s">
        <v>5986</v>
      </c>
      <c r="N146" s="1" t="s">
        <v>1327</v>
      </c>
      <c r="P146" s="1" t="s">
        <v>4948</v>
      </c>
      <c r="Q146" s="3">
        <v>0</v>
      </c>
      <c r="S146" s="23" t="s">
        <v>5949</v>
      </c>
      <c r="T146" s="23" t="s">
        <v>4931</v>
      </c>
      <c r="U146" s="3">
        <v>34</v>
      </c>
      <c r="W146" s="45" t="str">
        <f>HYPERLINK("http://ictvonline.org/taxonomy/p/taxonomy-history?taxnode_id=201851623","ICTVonline=201851623")</f>
        <v>ICTVonline=201851623</v>
      </c>
      <c r="AA146" s="1">
        <v>201850000</v>
      </c>
      <c r="AB146" s="1">
        <v>34</v>
      </c>
    </row>
    <row r="147" spans="1:28" x14ac:dyDescent="0.15">
      <c r="A147" s="1">
        <v>392</v>
      </c>
      <c r="B147" s="1" t="s">
        <v>7159</v>
      </c>
      <c r="F147" s="1" t="s">
        <v>5617</v>
      </c>
      <c r="G147" s="1" t="s">
        <v>5618</v>
      </c>
      <c r="H147" s="1" t="s">
        <v>5633</v>
      </c>
      <c r="J147" s="1" t="s">
        <v>1005</v>
      </c>
      <c r="L147" s="1" t="s">
        <v>1411</v>
      </c>
      <c r="M147" s="1" t="s">
        <v>5986</v>
      </c>
      <c r="N147" s="1" t="s">
        <v>1327</v>
      </c>
      <c r="P147" s="1" t="s">
        <v>4949</v>
      </c>
      <c r="Q147" s="3">
        <v>1</v>
      </c>
      <c r="S147" s="23" t="s">
        <v>5949</v>
      </c>
      <c r="T147" s="23" t="s">
        <v>4931</v>
      </c>
      <c r="U147" s="3">
        <v>34</v>
      </c>
      <c r="W147" s="45" t="str">
        <f>HYPERLINK("http://ictvonline.org/taxonomy/p/taxonomy-history?taxnode_id=201851624","ICTVonline=201851624")</f>
        <v>ICTVonline=201851624</v>
      </c>
      <c r="AA147" s="1">
        <v>201850000</v>
      </c>
      <c r="AB147" s="1">
        <v>34</v>
      </c>
    </row>
    <row r="148" spans="1:28" x14ac:dyDescent="0.15">
      <c r="A148" s="1">
        <v>394</v>
      </c>
      <c r="B148" s="1" t="s">
        <v>7159</v>
      </c>
      <c r="F148" s="1" t="s">
        <v>5617</v>
      </c>
      <c r="G148" s="1" t="s">
        <v>5618</v>
      </c>
      <c r="H148" s="1" t="s">
        <v>5633</v>
      </c>
      <c r="J148" s="1" t="s">
        <v>1005</v>
      </c>
      <c r="L148" s="1" t="s">
        <v>1411</v>
      </c>
      <c r="M148" s="1" t="s">
        <v>5986</v>
      </c>
      <c r="N148" s="1" t="s">
        <v>1327</v>
      </c>
      <c r="P148" s="1" t="s">
        <v>4950</v>
      </c>
      <c r="Q148" s="3">
        <v>0</v>
      </c>
      <c r="S148" s="23" t="s">
        <v>5949</v>
      </c>
      <c r="T148" s="23" t="s">
        <v>4931</v>
      </c>
      <c r="U148" s="3">
        <v>34</v>
      </c>
      <c r="W148" s="45" t="str">
        <f>HYPERLINK("http://ictvonline.org/taxonomy/p/taxonomy-history?taxnode_id=201851625","ICTVonline=201851625")</f>
        <v>ICTVonline=201851625</v>
      </c>
      <c r="AA148" s="1">
        <v>201850000</v>
      </c>
      <c r="AB148" s="1">
        <v>34</v>
      </c>
    </row>
    <row r="149" spans="1:28" x14ac:dyDescent="0.15">
      <c r="A149" s="1">
        <v>398</v>
      </c>
      <c r="B149" s="1" t="s">
        <v>7159</v>
      </c>
      <c r="F149" s="1" t="s">
        <v>5617</v>
      </c>
      <c r="G149" s="1" t="s">
        <v>5618</v>
      </c>
      <c r="H149" s="1" t="s">
        <v>5633</v>
      </c>
      <c r="J149" s="1" t="s">
        <v>1005</v>
      </c>
      <c r="L149" s="1" t="s">
        <v>1411</v>
      </c>
      <c r="M149" s="1" t="s">
        <v>5986</v>
      </c>
      <c r="N149" s="1" t="s">
        <v>6000</v>
      </c>
      <c r="P149" s="1" t="s">
        <v>6001</v>
      </c>
      <c r="Q149" s="3">
        <v>1</v>
      </c>
      <c r="S149" s="23" t="s">
        <v>5949</v>
      </c>
      <c r="T149" s="23" t="s">
        <v>4929</v>
      </c>
      <c r="U149" s="3">
        <v>34</v>
      </c>
      <c r="V149" s="3" t="s">
        <v>5970</v>
      </c>
      <c r="W149" s="45" t="str">
        <f>HYPERLINK("http://ictvonline.org/taxonomy/p/taxonomy-history?taxnode_id=201856466","ICTVonline=201856466")</f>
        <v>ICTVonline=201856466</v>
      </c>
      <c r="AA149" s="1">
        <v>201850000</v>
      </c>
      <c r="AB149" s="1">
        <v>34</v>
      </c>
    </row>
    <row r="150" spans="1:28" x14ac:dyDescent="0.15">
      <c r="A150" s="1">
        <v>404</v>
      </c>
      <c r="B150" s="1" t="s">
        <v>7159</v>
      </c>
      <c r="F150" s="1" t="s">
        <v>5617</v>
      </c>
      <c r="G150" s="1" t="s">
        <v>5618</v>
      </c>
      <c r="H150" s="1" t="s">
        <v>5633</v>
      </c>
      <c r="J150" s="1" t="s">
        <v>1005</v>
      </c>
      <c r="L150" s="1" t="s">
        <v>1411</v>
      </c>
      <c r="M150" s="1" t="s">
        <v>6002</v>
      </c>
      <c r="N150" s="1" t="s">
        <v>6003</v>
      </c>
      <c r="P150" s="1" t="s">
        <v>6004</v>
      </c>
      <c r="Q150" s="3">
        <v>0</v>
      </c>
      <c r="S150" s="23" t="s">
        <v>5949</v>
      </c>
      <c r="W150" s="45" t="str">
        <f>HYPERLINK("http://ictvonline.org/taxonomy/p/taxonomy-history?taxnode_id=201851629","ICTVonline=201851629")</f>
        <v>ICTVonline=201851629</v>
      </c>
      <c r="AA150" s="1">
        <v>201850000</v>
      </c>
      <c r="AB150" s="1">
        <v>34</v>
      </c>
    </row>
    <row r="151" spans="1:28" x14ac:dyDescent="0.15">
      <c r="A151" s="1">
        <v>406</v>
      </c>
      <c r="B151" s="1" t="s">
        <v>7159</v>
      </c>
      <c r="F151" s="1" t="s">
        <v>5617</v>
      </c>
      <c r="G151" s="1" t="s">
        <v>5618</v>
      </c>
      <c r="H151" s="1" t="s">
        <v>5633</v>
      </c>
      <c r="J151" s="1" t="s">
        <v>1005</v>
      </c>
      <c r="L151" s="1" t="s">
        <v>1411</v>
      </c>
      <c r="M151" s="1" t="s">
        <v>6002</v>
      </c>
      <c r="N151" s="1" t="s">
        <v>6003</v>
      </c>
      <c r="P151" s="1" t="s">
        <v>6005</v>
      </c>
      <c r="Q151" s="3">
        <v>0</v>
      </c>
      <c r="S151" s="23" t="s">
        <v>5949</v>
      </c>
      <c r="W151" s="45" t="str">
        <f>HYPERLINK("http://ictvonline.org/taxonomy/p/taxonomy-history?taxnode_id=201851630","ICTVonline=201851630")</f>
        <v>ICTVonline=201851630</v>
      </c>
      <c r="AA151" s="1">
        <v>201850000</v>
      </c>
      <c r="AB151" s="1">
        <v>34</v>
      </c>
    </row>
    <row r="152" spans="1:28" x14ac:dyDescent="0.15">
      <c r="A152" s="1">
        <v>408</v>
      </c>
      <c r="B152" s="1" t="s">
        <v>7159</v>
      </c>
      <c r="F152" s="1" t="s">
        <v>5617</v>
      </c>
      <c r="G152" s="1" t="s">
        <v>5618</v>
      </c>
      <c r="H152" s="1" t="s">
        <v>5633</v>
      </c>
      <c r="J152" s="1" t="s">
        <v>1005</v>
      </c>
      <c r="L152" s="1" t="s">
        <v>1411</v>
      </c>
      <c r="M152" s="1" t="s">
        <v>6002</v>
      </c>
      <c r="N152" s="1" t="s">
        <v>6003</v>
      </c>
      <c r="P152" s="1" t="s">
        <v>6006</v>
      </c>
      <c r="Q152" s="3">
        <v>0</v>
      </c>
      <c r="S152" s="23" t="s">
        <v>5949</v>
      </c>
      <c r="W152" s="45" t="str">
        <f>HYPERLINK("http://ictvonline.org/taxonomy/p/taxonomy-history?taxnode_id=201851631","ICTVonline=201851631")</f>
        <v>ICTVonline=201851631</v>
      </c>
      <c r="AA152" s="1">
        <v>201850000</v>
      </c>
      <c r="AB152" s="1">
        <v>34</v>
      </c>
    </row>
    <row r="153" spans="1:28" x14ac:dyDescent="0.15">
      <c r="A153" s="1">
        <v>410</v>
      </c>
      <c r="B153" s="1" t="s">
        <v>7159</v>
      </c>
      <c r="F153" s="1" t="s">
        <v>5617</v>
      </c>
      <c r="G153" s="1" t="s">
        <v>5618</v>
      </c>
      <c r="H153" s="1" t="s">
        <v>5633</v>
      </c>
      <c r="J153" s="1" t="s">
        <v>1005</v>
      </c>
      <c r="L153" s="1" t="s">
        <v>1411</v>
      </c>
      <c r="M153" s="1" t="s">
        <v>6002</v>
      </c>
      <c r="N153" s="1" t="s">
        <v>6003</v>
      </c>
      <c r="P153" s="1" t="s">
        <v>6007</v>
      </c>
      <c r="Q153" s="3">
        <v>0</v>
      </c>
      <c r="S153" s="23" t="s">
        <v>5949</v>
      </c>
      <c r="W153" s="45" t="str">
        <f>HYPERLINK("http://ictvonline.org/taxonomy/p/taxonomy-history?taxnode_id=201851632","ICTVonline=201851632")</f>
        <v>ICTVonline=201851632</v>
      </c>
      <c r="AA153" s="1">
        <v>201850000</v>
      </c>
      <c r="AB153" s="1">
        <v>34</v>
      </c>
    </row>
    <row r="154" spans="1:28" x14ac:dyDescent="0.15">
      <c r="A154" s="1">
        <v>412</v>
      </c>
      <c r="B154" s="1" t="s">
        <v>7159</v>
      </c>
      <c r="F154" s="1" t="s">
        <v>5617</v>
      </c>
      <c r="G154" s="1" t="s">
        <v>5618</v>
      </c>
      <c r="H154" s="1" t="s">
        <v>5633</v>
      </c>
      <c r="J154" s="1" t="s">
        <v>1005</v>
      </c>
      <c r="L154" s="1" t="s">
        <v>1411</v>
      </c>
      <c r="M154" s="1" t="s">
        <v>6002</v>
      </c>
      <c r="N154" s="1" t="s">
        <v>6003</v>
      </c>
      <c r="P154" s="1" t="s">
        <v>6008</v>
      </c>
      <c r="Q154" s="3">
        <v>0</v>
      </c>
      <c r="S154" s="23" t="s">
        <v>5949</v>
      </c>
      <c r="W154" s="45" t="str">
        <f>HYPERLINK("http://ictvonline.org/taxonomy/p/taxonomy-history?taxnode_id=201851633","ICTVonline=201851633")</f>
        <v>ICTVonline=201851633</v>
      </c>
      <c r="AA154" s="1">
        <v>201850000</v>
      </c>
      <c r="AB154" s="1">
        <v>34</v>
      </c>
    </row>
    <row r="155" spans="1:28" x14ac:dyDescent="0.15">
      <c r="A155" s="1">
        <v>414</v>
      </c>
      <c r="B155" s="1" t="s">
        <v>7159</v>
      </c>
      <c r="F155" s="1" t="s">
        <v>5617</v>
      </c>
      <c r="G155" s="1" t="s">
        <v>5618</v>
      </c>
      <c r="H155" s="1" t="s">
        <v>5633</v>
      </c>
      <c r="J155" s="1" t="s">
        <v>1005</v>
      </c>
      <c r="L155" s="1" t="s">
        <v>1411</v>
      </c>
      <c r="M155" s="1" t="s">
        <v>6002</v>
      </c>
      <c r="N155" s="1" t="s">
        <v>6003</v>
      </c>
      <c r="P155" s="1" t="s">
        <v>6009</v>
      </c>
      <c r="Q155" s="3">
        <v>1</v>
      </c>
      <c r="S155" s="23" t="s">
        <v>5949</v>
      </c>
      <c r="W155" s="45" t="str">
        <f>HYPERLINK("http://ictvonline.org/taxonomy/p/taxonomy-history?taxnode_id=201851635","ICTVonline=201851635")</f>
        <v>ICTVonline=201851635</v>
      </c>
      <c r="AA155" s="1">
        <v>201850000</v>
      </c>
      <c r="AB155" s="1">
        <v>34</v>
      </c>
    </row>
    <row r="156" spans="1:28" x14ac:dyDescent="0.15">
      <c r="A156" s="1">
        <v>416</v>
      </c>
      <c r="B156" s="1" t="s">
        <v>7159</v>
      </c>
      <c r="F156" s="1" t="s">
        <v>5617</v>
      </c>
      <c r="G156" s="1" t="s">
        <v>5618</v>
      </c>
      <c r="H156" s="1" t="s">
        <v>5633</v>
      </c>
      <c r="J156" s="1" t="s">
        <v>1005</v>
      </c>
      <c r="L156" s="1" t="s">
        <v>1411</v>
      </c>
      <c r="M156" s="1" t="s">
        <v>6002</v>
      </c>
      <c r="N156" s="1" t="s">
        <v>6003</v>
      </c>
      <c r="P156" s="1" t="s">
        <v>6010</v>
      </c>
      <c r="Q156" s="3">
        <v>0</v>
      </c>
      <c r="S156" s="23" t="s">
        <v>5949</v>
      </c>
      <c r="W156" s="45" t="str">
        <f>HYPERLINK("http://ictvonline.org/taxonomy/p/taxonomy-history?taxnode_id=201851636","ICTVonline=201851636")</f>
        <v>ICTVonline=201851636</v>
      </c>
      <c r="AA156" s="1">
        <v>201850000</v>
      </c>
      <c r="AB156" s="1">
        <v>34</v>
      </c>
    </row>
    <row r="157" spans="1:28" x14ac:dyDescent="0.15">
      <c r="A157" s="1">
        <v>418</v>
      </c>
      <c r="B157" s="1" t="s">
        <v>7159</v>
      </c>
      <c r="F157" s="1" t="s">
        <v>5617</v>
      </c>
      <c r="G157" s="1" t="s">
        <v>5618</v>
      </c>
      <c r="H157" s="1" t="s">
        <v>5633</v>
      </c>
      <c r="J157" s="1" t="s">
        <v>1005</v>
      </c>
      <c r="L157" s="1" t="s">
        <v>1411</v>
      </c>
      <c r="M157" s="1" t="s">
        <v>6002</v>
      </c>
      <c r="N157" s="1" t="s">
        <v>6003</v>
      </c>
      <c r="P157" s="1" t="s">
        <v>6011</v>
      </c>
      <c r="Q157" s="3">
        <v>0</v>
      </c>
      <c r="S157" s="23" t="s">
        <v>5949</v>
      </c>
      <c r="W157" s="45" t="str">
        <f>HYPERLINK("http://ictvonline.org/taxonomy/p/taxonomy-history?taxnode_id=201851637","ICTVonline=201851637")</f>
        <v>ICTVonline=201851637</v>
      </c>
      <c r="AA157" s="1">
        <v>201850000</v>
      </c>
      <c r="AB157" s="1">
        <v>34</v>
      </c>
    </row>
    <row r="158" spans="1:28" x14ac:dyDescent="0.15">
      <c r="A158" s="1">
        <v>422</v>
      </c>
      <c r="B158" s="1" t="s">
        <v>7159</v>
      </c>
      <c r="F158" s="1" t="s">
        <v>5617</v>
      </c>
      <c r="G158" s="1" t="s">
        <v>5618</v>
      </c>
      <c r="H158" s="1" t="s">
        <v>5633</v>
      </c>
      <c r="J158" s="1" t="s">
        <v>1005</v>
      </c>
      <c r="L158" s="1" t="s">
        <v>1411</v>
      </c>
      <c r="M158" s="1" t="s">
        <v>6002</v>
      </c>
      <c r="N158" s="1" t="s">
        <v>6012</v>
      </c>
      <c r="P158" s="1" t="s">
        <v>6013</v>
      </c>
      <c r="Q158" s="3">
        <v>0</v>
      </c>
      <c r="S158" s="23" t="s">
        <v>5949</v>
      </c>
      <c r="W158" s="45" t="str">
        <f>HYPERLINK("http://ictvonline.org/taxonomy/p/taxonomy-history?taxnode_id=201851627","ICTVonline=201851627")</f>
        <v>ICTVonline=201851627</v>
      </c>
      <c r="AA158" s="1">
        <v>201850000</v>
      </c>
      <c r="AB158" s="1">
        <v>34</v>
      </c>
    </row>
    <row r="159" spans="1:28" x14ac:dyDescent="0.15">
      <c r="A159" s="1">
        <v>424</v>
      </c>
      <c r="B159" s="1" t="s">
        <v>7159</v>
      </c>
      <c r="F159" s="1" t="s">
        <v>5617</v>
      </c>
      <c r="G159" s="1" t="s">
        <v>5618</v>
      </c>
      <c r="H159" s="1" t="s">
        <v>5633</v>
      </c>
      <c r="J159" s="1" t="s">
        <v>1005</v>
      </c>
      <c r="L159" s="1" t="s">
        <v>1411</v>
      </c>
      <c r="M159" s="1" t="s">
        <v>6002</v>
      </c>
      <c r="N159" s="1" t="s">
        <v>6012</v>
      </c>
      <c r="P159" s="1" t="s">
        <v>6014</v>
      </c>
      <c r="Q159" s="3">
        <v>0</v>
      </c>
      <c r="S159" s="23" t="s">
        <v>5949</v>
      </c>
      <c r="W159" s="45" t="str">
        <f>HYPERLINK("http://ictvonline.org/taxonomy/p/taxonomy-history?taxnode_id=201851628","ICTVonline=201851628")</f>
        <v>ICTVonline=201851628</v>
      </c>
      <c r="AA159" s="1">
        <v>201850000</v>
      </c>
      <c r="AB159" s="1">
        <v>34</v>
      </c>
    </row>
    <row r="160" spans="1:28" x14ac:dyDescent="0.15">
      <c r="A160" s="1">
        <v>426</v>
      </c>
      <c r="B160" s="1" t="s">
        <v>7159</v>
      </c>
      <c r="F160" s="1" t="s">
        <v>5617</v>
      </c>
      <c r="G160" s="1" t="s">
        <v>5618</v>
      </c>
      <c r="H160" s="1" t="s">
        <v>5633</v>
      </c>
      <c r="J160" s="1" t="s">
        <v>1005</v>
      </c>
      <c r="L160" s="1" t="s">
        <v>1411</v>
      </c>
      <c r="M160" s="1" t="s">
        <v>6002</v>
      </c>
      <c r="N160" s="1" t="s">
        <v>6012</v>
      </c>
      <c r="P160" s="1" t="s">
        <v>6015</v>
      </c>
      <c r="Q160" s="3">
        <v>1</v>
      </c>
      <c r="S160" s="23" t="s">
        <v>5949</v>
      </c>
      <c r="W160" s="45" t="str">
        <f>HYPERLINK("http://ictvonline.org/taxonomy/p/taxonomy-history?taxnode_id=201851634","ICTVonline=201851634")</f>
        <v>ICTVonline=201851634</v>
      </c>
      <c r="AA160" s="1">
        <v>201850000</v>
      </c>
      <c r="AB160" s="1">
        <v>34</v>
      </c>
    </row>
    <row r="161" spans="1:28" x14ac:dyDescent="0.15">
      <c r="A161" s="1">
        <v>428</v>
      </c>
      <c r="B161" s="1" t="s">
        <v>7159</v>
      </c>
      <c r="F161" s="1" t="s">
        <v>5617</v>
      </c>
      <c r="G161" s="1" t="s">
        <v>5618</v>
      </c>
      <c r="H161" s="1" t="s">
        <v>5633</v>
      </c>
      <c r="J161" s="1" t="s">
        <v>1005</v>
      </c>
      <c r="L161" s="1" t="s">
        <v>1411</v>
      </c>
      <c r="M161" s="1" t="s">
        <v>6002</v>
      </c>
      <c r="N161" s="1" t="s">
        <v>6012</v>
      </c>
      <c r="P161" s="1" t="s">
        <v>6016</v>
      </c>
      <c r="Q161" s="3">
        <v>0</v>
      </c>
      <c r="S161" s="23" t="s">
        <v>5949</v>
      </c>
      <c r="W161" s="45" t="str">
        <f>HYPERLINK("http://ictvonline.org/taxonomy/p/taxonomy-history?taxnode_id=201851638","ICTVonline=201851638")</f>
        <v>ICTVonline=201851638</v>
      </c>
      <c r="AA161" s="1">
        <v>201850000</v>
      </c>
      <c r="AB161" s="1">
        <v>34</v>
      </c>
    </row>
    <row r="162" spans="1:28" x14ac:dyDescent="0.15">
      <c r="A162" s="1">
        <v>430</v>
      </c>
      <c r="B162" s="1" t="s">
        <v>7159</v>
      </c>
      <c r="F162" s="1" t="s">
        <v>5617</v>
      </c>
      <c r="G162" s="1" t="s">
        <v>5618</v>
      </c>
      <c r="H162" s="1" t="s">
        <v>5633</v>
      </c>
      <c r="J162" s="1" t="s">
        <v>1005</v>
      </c>
      <c r="L162" s="1" t="s">
        <v>1411</v>
      </c>
      <c r="M162" s="1" t="s">
        <v>6002</v>
      </c>
      <c r="N162" s="1" t="s">
        <v>6012</v>
      </c>
      <c r="P162" s="1" t="s">
        <v>6017</v>
      </c>
      <c r="Q162" s="3">
        <v>0</v>
      </c>
      <c r="S162" s="23" t="s">
        <v>5949</v>
      </c>
      <c r="W162" s="45" t="str">
        <f>HYPERLINK("http://ictvonline.org/taxonomy/p/taxonomy-history?taxnode_id=201851639","ICTVonline=201851639")</f>
        <v>ICTVonline=201851639</v>
      </c>
      <c r="AA162" s="1">
        <v>201850000</v>
      </c>
      <c r="AB162" s="1">
        <v>34</v>
      </c>
    </row>
    <row r="163" spans="1:28" x14ac:dyDescent="0.15">
      <c r="A163" s="1">
        <v>432</v>
      </c>
      <c r="B163" s="1" t="s">
        <v>7159</v>
      </c>
      <c r="F163" s="1" t="s">
        <v>5617</v>
      </c>
      <c r="G163" s="1" t="s">
        <v>5618</v>
      </c>
      <c r="H163" s="1" t="s">
        <v>5633</v>
      </c>
      <c r="J163" s="1" t="s">
        <v>1005</v>
      </c>
      <c r="L163" s="1" t="s">
        <v>1411</v>
      </c>
      <c r="M163" s="1" t="s">
        <v>6002</v>
      </c>
      <c r="N163" s="1" t="s">
        <v>6012</v>
      </c>
      <c r="P163" s="1" t="s">
        <v>6018</v>
      </c>
      <c r="Q163" s="3">
        <v>0</v>
      </c>
      <c r="S163" s="23" t="s">
        <v>5949</v>
      </c>
      <c r="W163" s="45" t="str">
        <f>HYPERLINK("http://ictvonline.org/taxonomy/p/taxonomy-history?taxnode_id=201851640","ICTVonline=201851640")</f>
        <v>ICTVonline=201851640</v>
      </c>
      <c r="AA163" s="1">
        <v>201850000</v>
      </c>
      <c r="AB163" s="1">
        <v>34</v>
      </c>
    </row>
    <row r="164" spans="1:28" x14ac:dyDescent="0.15">
      <c r="A164" s="1">
        <v>434</v>
      </c>
      <c r="B164" s="1" t="s">
        <v>7159</v>
      </c>
      <c r="F164" s="1" t="s">
        <v>5617</v>
      </c>
      <c r="G164" s="1" t="s">
        <v>5618</v>
      </c>
      <c r="H164" s="1" t="s">
        <v>5633</v>
      </c>
      <c r="J164" s="1" t="s">
        <v>1005</v>
      </c>
      <c r="L164" s="1" t="s">
        <v>1411</v>
      </c>
      <c r="M164" s="1" t="s">
        <v>6002</v>
      </c>
      <c r="N164" s="1" t="s">
        <v>6012</v>
      </c>
      <c r="P164" s="1" t="s">
        <v>6019</v>
      </c>
      <c r="Q164" s="3">
        <v>0</v>
      </c>
      <c r="S164" s="23" t="s">
        <v>5949</v>
      </c>
      <c r="W164" s="45" t="str">
        <f>HYPERLINK("http://ictvonline.org/taxonomy/p/taxonomy-history?taxnode_id=201851641","ICTVonline=201851641")</f>
        <v>ICTVonline=201851641</v>
      </c>
      <c r="AA164" s="1">
        <v>201850000</v>
      </c>
      <c r="AB164" s="1">
        <v>34</v>
      </c>
    </row>
    <row r="165" spans="1:28" x14ac:dyDescent="0.15">
      <c r="A165" s="1">
        <v>436</v>
      </c>
      <c r="B165" s="1" t="s">
        <v>7159</v>
      </c>
      <c r="F165" s="1" t="s">
        <v>5617</v>
      </c>
      <c r="G165" s="1" t="s">
        <v>5618</v>
      </c>
      <c r="H165" s="1" t="s">
        <v>5633</v>
      </c>
      <c r="J165" s="1" t="s">
        <v>1005</v>
      </c>
      <c r="L165" s="1" t="s">
        <v>1411</v>
      </c>
      <c r="M165" s="1" t="s">
        <v>6002</v>
      </c>
      <c r="N165" s="1" t="s">
        <v>6012</v>
      </c>
      <c r="P165" s="1" t="s">
        <v>6020</v>
      </c>
      <c r="Q165" s="3">
        <v>0</v>
      </c>
      <c r="S165" s="23" t="s">
        <v>5949</v>
      </c>
      <c r="W165" s="45" t="str">
        <f>HYPERLINK("http://ictvonline.org/taxonomy/p/taxonomy-history?taxnode_id=201851642","ICTVonline=201851642")</f>
        <v>ICTVonline=201851642</v>
      </c>
      <c r="AA165" s="1">
        <v>201850000</v>
      </c>
      <c r="AB165" s="1">
        <v>34</v>
      </c>
    </row>
    <row r="166" spans="1:28" x14ac:dyDescent="0.15">
      <c r="A166" s="1">
        <v>438</v>
      </c>
      <c r="B166" s="1" t="s">
        <v>7159</v>
      </c>
      <c r="F166" s="1" t="s">
        <v>5617</v>
      </c>
      <c r="G166" s="1" t="s">
        <v>5618</v>
      </c>
      <c r="H166" s="1" t="s">
        <v>5633</v>
      </c>
      <c r="J166" s="1" t="s">
        <v>1005</v>
      </c>
      <c r="L166" s="1" t="s">
        <v>1411</v>
      </c>
      <c r="M166" s="1" t="s">
        <v>6002</v>
      </c>
      <c r="N166" s="1" t="s">
        <v>6012</v>
      </c>
      <c r="P166" s="1" t="s">
        <v>6021</v>
      </c>
      <c r="Q166" s="3">
        <v>0</v>
      </c>
      <c r="S166" s="23" t="s">
        <v>5949</v>
      </c>
      <c r="W166" s="45" t="str">
        <f>HYPERLINK("http://ictvonline.org/taxonomy/p/taxonomy-history?taxnode_id=201851643","ICTVonline=201851643")</f>
        <v>ICTVonline=201851643</v>
      </c>
      <c r="AA166" s="1">
        <v>201850000</v>
      </c>
      <c r="AB166" s="1">
        <v>34</v>
      </c>
    </row>
    <row r="167" spans="1:28" x14ac:dyDescent="0.15">
      <c r="A167" s="1">
        <v>446</v>
      </c>
      <c r="B167" s="1" t="s">
        <v>7159</v>
      </c>
      <c r="F167" s="1" t="s">
        <v>5617</v>
      </c>
      <c r="G167" s="1" t="s">
        <v>5618</v>
      </c>
      <c r="H167" s="1" t="s">
        <v>5633</v>
      </c>
      <c r="J167" s="1" t="s">
        <v>1005</v>
      </c>
      <c r="L167" s="1" t="s">
        <v>1411</v>
      </c>
      <c r="P167" s="1" t="s">
        <v>6022</v>
      </c>
      <c r="Q167" s="3">
        <v>0</v>
      </c>
      <c r="S167" s="23" t="s">
        <v>5949</v>
      </c>
      <c r="T167" s="23" t="s">
        <v>4929</v>
      </c>
      <c r="U167" s="3">
        <v>34</v>
      </c>
      <c r="V167" s="3" t="s">
        <v>5970</v>
      </c>
      <c r="W167" s="45" t="str">
        <f>HYPERLINK("http://ictvonline.org/taxonomy/p/taxonomy-history?taxnode_id=201856473","ICTVonline=201856473")</f>
        <v>ICTVonline=201856473</v>
      </c>
      <c r="AA167" s="1">
        <v>201850000</v>
      </c>
      <c r="AB167" s="1">
        <v>34</v>
      </c>
    </row>
    <row r="168" spans="1:28" x14ac:dyDescent="0.15">
      <c r="A168" s="1">
        <v>448</v>
      </c>
      <c r="B168" s="1" t="s">
        <v>7159</v>
      </c>
      <c r="F168" s="1" t="s">
        <v>5617</v>
      </c>
      <c r="G168" s="1" t="s">
        <v>5618</v>
      </c>
      <c r="H168" s="1" t="s">
        <v>5633</v>
      </c>
      <c r="J168" s="1" t="s">
        <v>1005</v>
      </c>
      <c r="L168" s="1" t="s">
        <v>1411</v>
      </c>
      <c r="P168" s="1" t="s">
        <v>6023</v>
      </c>
      <c r="Q168" s="3">
        <v>0</v>
      </c>
      <c r="S168" s="23" t="s">
        <v>5949</v>
      </c>
      <c r="T168" s="23" t="s">
        <v>4929</v>
      </c>
      <c r="U168" s="3">
        <v>34</v>
      </c>
      <c r="V168" s="3" t="s">
        <v>5970</v>
      </c>
      <c r="W168" s="45" t="str">
        <f>HYPERLINK("http://ictvonline.org/taxonomy/p/taxonomy-history?taxnode_id=201856474","ICTVonline=201856474")</f>
        <v>ICTVonline=201856474</v>
      </c>
      <c r="AA168" s="1">
        <v>201850000</v>
      </c>
      <c r="AB168" s="1">
        <v>34</v>
      </c>
    </row>
    <row r="169" spans="1:28" x14ac:dyDescent="0.15">
      <c r="A169" s="1">
        <v>450</v>
      </c>
      <c r="B169" s="1" t="s">
        <v>7159</v>
      </c>
      <c r="F169" s="1" t="s">
        <v>5617</v>
      </c>
      <c r="G169" s="1" t="s">
        <v>5618</v>
      </c>
      <c r="H169" s="1" t="s">
        <v>5633</v>
      </c>
      <c r="J169" s="1" t="s">
        <v>1005</v>
      </c>
      <c r="L169" s="1" t="s">
        <v>1411</v>
      </c>
      <c r="P169" s="1" t="s">
        <v>6024</v>
      </c>
      <c r="Q169" s="3">
        <v>0</v>
      </c>
      <c r="S169" s="23" t="s">
        <v>5949</v>
      </c>
      <c r="T169" s="23" t="s">
        <v>4929</v>
      </c>
      <c r="U169" s="3">
        <v>34</v>
      </c>
      <c r="V169" s="3" t="s">
        <v>5970</v>
      </c>
      <c r="W169" s="45" t="str">
        <f>HYPERLINK("http://ictvonline.org/taxonomy/p/taxonomy-history?taxnode_id=201856475","ICTVonline=201856475")</f>
        <v>ICTVonline=201856475</v>
      </c>
      <c r="AA169" s="1">
        <v>201850000</v>
      </c>
      <c r="AB169" s="1">
        <v>34</v>
      </c>
    </row>
    <row r="170" spans="1:28" x14ac:dyDescent="0.15">
      <c r="A170" s="1">
        <v>455</v>
      </c>
      <c r="B170" s="1" t="s">
        <v>7159</v>
      </c>
      <c r="F170" s="1" t="s">
        <v>5617</v>
      </c>
      <c r="G170" s="1" t="s">
        <v>5618</v>
      </c>
      <c r="H170" s="1" t="s">
        <v>5633</v>
      </c>
      <c r="J170" s="1" t="s">
        <v>1005</v>
      </c>
      <c r="L170" s="1" t="s">
        <v>3554</v>
      </c>
      <c r="N170" s="1" t="s">
        <v>4043</v>
      </c>
      <c r="P170" s="1" t="s">
        <v>1433</v>
      </c>
      <c r="Q170" s="3">
        <v>1</v>
      </c>
      <c r="S170" s="23" t="s">
        <v>5949</v>
      </c>
      <c r="T170" s="23" t="s">
        <v>4931</v>
      </c>
      <c r="U170" s="3">
        <v>34</v>
      </c>
      <c r="W170" s="45" t="str">
        <f>HYPERLINK("http://ictvonline.org/taxonomy/p/taxonomy-history?taxnode_id=201851647","ICTVonline=201851647")</f>
        <v>ICTVonline=201851647</v>
      </c>
      <c r="AA170" s="1">
        <v>201850000</v>
      </c>
      <c r="AB170" s="1">
        <v>34</v>
      </c>
    </row>
    <row r="171" spans="1:28" x14ac:dyDescent="0.15">
      <c r="A171" s="1">
        <v>457</v>
      </c>
      <c r="B171" s="1" t="s">
        <v>7159</v>
      </c>
      <c r="F171" s="1" t="s">
        <v>5617</v>
      </c>
      <c r="G171" s="1" t="s">
        <v>5618</v>
      </c>
      <c r="H171" s="1" t="s">
        <v>5633</v>
      </c>
      <c r="J171" s="1" t="s">
        <v>1005</v>
      </c>
      <c r="L171" s="1" t="s">
        <v>3554</v>
      </c>
      <c r="N171" s="1" t="s">
        <v>4043</v>
      </c>
      <c r="P171" s="1" t="s">
        <v>1434</v>
      </c>
      <c r="Q171" s="3">
        <v>0</v>
      </c>
      <c r="S171" s="23" t="s">
        <v>5949</v>
      </c>
      <c r="T171" s="23" t="s">
        <v>4931</v>
      </c>
      <c r="U171" s="3">
        <v>34</v>
      </c>
      <c r="W171" s="45" t="str">
        <f>HYPERLINK("http://ictvonline.org/taxonomy/p/taxonomy-history?taxnode_id=201851648","ICTVonline=201851648")</f>
        <v>ICTVonline=201851648</v>
      </c>
      <c r="AA171" s="1">
        <v>201850000</v>
      </c>
      <c r="AB171" s="1">
        <v>34</v>
      </c>
    </row>
    <row r="172" spans="1:28" x14ac:dyDescent="0.15">
      <c r="A172" s="1">
        <v>461</v>
      </c>
      <c r="B172" s="1" t="s">
        <v>7159</v>
      </c>
      <c r="F172" s="1" t="s">
        <v>5617</v>
      </c>
      <c r="G172" s="1" t="s">
        <v>5618</v>
      </c>
      <c r="H172" s="1" t="s">
        <v>5633</v>
      </c>
      <c r="J172" s="1" t="s">
        <v>1005</v>
      </c>
      <c r="L172" s="1" t="s">
        <v>3554</v>
      </c>
      <c r="N172" s="1" t="s">
        <v>3555</v>
      </c>
      <c r="P172" s="1" t="s">
        <v>4951</v>
      </c>
      <c r="Q172" s="3">
        <v>0</v>
      </c>
      <c r="S172" s="23" t="s">
        <v>5949</v>
      </c>
      <c r="T172" s="23" t="s">
        <v>4931</v>
      </c>
      <c r="U172" s="3">
        <v>34</v>
      </c>
      <c r="W172" s="45" t="str">
        <f>HYPERLINK("http://ictvonline.org/taxonomy/p/taxonomy-history?taxnode_id=201851650","ICTVonline=201851650")</f>
        <v>ICTVonline=201851650</v>
      </c>
      <c r="AA172" s="1">
        <v>201850000</v>
      </c>
      <c r="AB172" s="1">
        <v>34</v>
      </c>
    </row>
    <row r="173" spans="1:28" x14ac:dyDescent="0.15">
      <c r="A173" s="1">
        <v>463</v>
      </c>
      <c r="B173" s="1" t="s">
        <v>7159</v>
      </c>
      <c r="F173" s="1" t="s">
        <v>5617</v>
      </c>
      <c r="G173" s="1" t="s">
        <v>5618</v>
      </c>
      <c r="H173" s="1" t="s">
        <v>5633</v>
      </c>
      <c r="J173" s="1" t="s">
        <v>1005</v>
      </c>
      <c r="L173" s="1" t="s">
        <v>3554</v>
      </c>
      <c r="N173" s="1" t="s">
        <v>3555</v>
      </c>
      <c r="P173" s="1" t="s">
        <v>4952</v>
      </c>
      <c r="Q173" s="3">
        <v>1</v>
      </c>
      <c r="S173" s="23" t="s">
        <v>5949</v>
      </c>
      <c r="T173" s="23" t="s">
        <v>4931</v>
      </c>
      <c r="U173" s="3">
        <v>34</v>
      </c>
      <c r="W173" s="45" t="str">
        <f>HYPERLINK("http://ictvonline.org/taxonomy/p/taxonomy-history?taxnode_id=201851651","ICTVonline=201851651")</f>
        <v>ICTVonline=201851651</v>
      </c>
      <c r="AA173" s="1">
        <v>201850000</v>
      </c>
      <c r="AB173" s="1">
        <v>34</v>
      </c>
    </row>
    <row r="174" spans="1:28" x14ac:dyDescent="0.15">
      <c r="A174" s="1">
        <v>465</v>
      </c>
      <c r="B174" s="1" t="s">
        <v>7159</v>
      </c>
      <c r="F174" s="1" t="s">
        <v>5617</v>
      </c>
      <c r="G174" s="1" t="s">
        <v>5618</v>
      </c>
      <c r="H174" s="1" t="s">
        <v>5633</v>
      </c>
      <c r="J174" s="1" t="s">
        <v>1005</v>
      </c>
      <c r="L174" s="1" t="s">
        <v>3554</v>
      </c>
      <c r="N174" s="1" t="s">
        <v>3555</v>
      </c>
      <c r="P174" s="1" t="s">
        <v>4953</v>
      </c>
      <c r="Q174" s="3">
        <v>0</v>
      </c>
      <c r="S174" s="23" t="s">
        <v>5949</v>
      </c>
      <c r="T174" s="23" t="s">
        <v>4931</v>
      </c>
      <c r="U174" s="3">
        <v>34</v>
      </c>
      <c r="W174" s="45" t="str">
        <f>HYPERLINK("http://ictvonline.org/taxonomy/p/taxonomy-history?taxnode_id=201851652","ICTVonline=201851652")</f>
        <v>ICTVonline=201851652</v>
      </c>
      <c r="AA174" s="1">
        <v>201850000</v>
      </c>
      <c r="AB174" s="1">
        <v>34</v>
      </c>
    </row>
    <row r="175" spans="1:28" x14ac:dyDescent="0.15">
      <c r="A175" s="1">
        <v>471</v>
      </c>
      <c r="B175" s="1" t="s">
        <v>7159</v>
      </c>
      <c r="F175" s="1" t="s">
        <v>5617</v>
      </c>
      <c r="G175" s="1" t="s">
        <v>5618</v>
      </c>
      <c r="H175" s="1" t="s">
        <v>5633</v>
      </c>
      <c r="J175" s="1" t="s">
        <v>1005</v>
      </c>
      <c r="L175" s="1" t="s">
        <v>1436</v>
      </c>
      <c r="N175" s="1" t="s">
        <v>4518</v>
      </c>
      <c r="P175" s="1" t="s">
        <v>4519</v>
      </c>
      <c r="Q175" s="3">
        <v>0</v>
      </c>
      <c r="S175" s="23" t="s">
        <v>5949</v>
      </c>
      <c r="T175" s="23" t="s">
        <v>4931</v>
      </c>
      <c r="U175" s="3">
        <v>34</v>
      </c>
      <c r="W175" s="45" t="str">
        <f>HYPERLINK("http://ictvonline.org/taxonomy/p/taxonomy-history?taxnode_id=201851656","ICTVonline=201851656")</f>
        <v>ICTVonline=201851656</v>
      </c>
      <c r="AA175" s="1">
        <v>201850000</v>
      </c>
      <c r="AB175" s="1">
        <v>34</v>
      </c>
    </row>
    <row r="176" spans="1:28" x14ac:dyDescent="0.15">
      <c r="A176" s="1">
        <v>473</v>
      </c>
      <c r="B176" s="1" t="s">
        <v>7159</v>
      </c>
      <c r="F176" s="1" t="s">
        <v>5617</v>
      </c>
      <c r="G176" s="1" t="s">
        <v>5618</v>
      </c>
      <c r="H176" s="1" t="s">
        <v>5633</v>
      </c>
      <c r="J176" s="1" t="s">
        <v>1005</v>
      </c>
      <c r="L176" s="1" t="s">
        <v>1436</v>
      </c>
      <c r="N176" s="1" t="s">
        <v>4518</v>
      </c>
      <c r="P176" s="1" t="s">
        <v>4520</v>
      </c>
      <c r="Q176" s="3">
        <v>0</v>
      </c>
      <c r="S176" s="23" t="s">
        <v>5949</v>
      </c>
      <c r="T176" s="23" t="s">
        <v>4931</v>
      </c>
      <c r="U176" s="3">
        <v>34</v>
      </c>
      <c r="W176" s="45" t="str">
        <f>HYPERLINK("http://ictvonline.org/taxonomy/p/taxonomy-history?taxnode_id=201851657","ICTVonline=201851657")</f>
        <v>ICTVonline=201851657</v>
      </c>
      <c r="AA176" s="1">
        <v>201850000</v>
      </c>
      <c r="AB176" s="1">
        <v>34</v>
      </c>
    </row>
    <row r="177" spans="1:28" x14ac:dyDescent="0.15">
      <c r="A177" s="1">
        <v>475</v>
      </c>
      <c r="B177" s="1" t="s">
        <v>7159</v>
      </c>
      <c r="F177" s="1" t="s">
        <v>5617</v>
      </c>
      <c r="G177" s="1" t="s">
        <v>5618</v>
      </c>
      <c r="H177" s="1" t="s">
        <v>5633</v>
      </c>
      <c r="J177" s="1" t="s">
        <v>1005</v>
      </c>
      <c r="L177" s="1" t="s">
        <v>1436</v>
      </c>
      <c r="N177" s="1" t="s">
        <v>4518</v>
      </c>
      <c r="P177" s="1" t="s">
        <v>4521</v>
      </c>
      <c r="Q177" s="3">
        <v>0</v>
      </c>
      <c r="S177" s="23" t="s">
        <v>5949</v>
      </c>
      <c r="T177" s="23" t="s">
        <v>4931</v>
      </c>
      <c r="U177" s="3">
        <v>34</v>
      </c>
      <c r="W177" s="45" t="str">
        <f>HYPERLINK("http://ictvonline.org/taxonomy/p/taxonomy-history?taxnode_id=201851658","ICTVonline=201851658")</f>
        <v>ICTVonline=201851658</v>
      </c>
      <c r="AA177" s="1">
        <v>201850000</v>
      </c>
      <c r="AB177" s="1">
        <v>34</v>
      </c>
    </row>
    <row r="178" spans="1:28" x14ac:dyDescent="0.15">
      <c r="A178" s="1">
        <v>477</v>
      </c>
      <c r="B178" s="1" t="s">
        <v>7159</v>
      </c>
      <c r="F178" s="1" t="s">
        <v>5617</v>
      </c>
      <c r="G178" s="1" t="s">
        <v>5618</v>
      </c>
      <c r="H178" s="1" t="s">
        <v>5633</v>
      </c>
      <c r="J178" s="1" t="s">
        <v>1005</v>
      </c>
      <c r="L178" s="1" t="s">
        <v>1436</v>
      </c>
      <c r="N178" s="1" t="s">
        <v>4518</v>
      </c>
      <c r="P178" s="1" t="s">
        <v>4522</v>
      </c>
      <c r="Q178" s="3">
        <v>1</v>
      </c>
      <c r="S178" s="23" t="s">
        <v>5949</v>
      </c>
      <c r="T178" s="23" t="s">
        <v>4931</v>
      </c>
      <c r="U178" s="3">
        <v>34</v>
      </c>
      <c r="W178" s="45" t="str">
        <f>HYPERLINK("http://ictvonline.org/taxonomy/p/taxonomy-history?taxnode_id=201851659","ICTVonline=201851659")</f>
        <v>ICTVonline=201851659</v>
      </c>
      <c r="AA178" s="1">
        <v>201850000</v>
      </c>
      <c r="AB178" s="1">
        <v>34</v>
      </c>
    </row>
    <row r="179" spans="1:28" x14ac:dyDescent="0.15">
      <c r="A179" s="1">
        <v>479</v>
      </c>
      <c r="B179" s="1" t="s">
        <v>7159</v>
      </c>
      <c r="F179" s="1" t="s">
        <v>5617</v>
      </c>
      <c r="G179" s="1" t="s">
        <v>5618</v>
      </c>
      <c r="H179" s="1" t="s">
        <v>5633</v>
      </c>
      <c r="J179" s="1" t="s">
        <v>1005</v>
      </c>
      <c r="L179" s="1" t="s">
        <v>1436</v>
      </c>
      <c r="N179" s="1" t="s">
        <v>4518</v>
      </c>
      <c r="P179" s="1" t="s">
        <v>4523</v>
      </c>
      <c r="Q179" s="3">
        <v>0</v>
      </c>
      <c r="S179" s="23" t="s">
        <v>5949</v>
      </c>
      <c r="T179" s="23" t="s">
        <v>4931</v>
      </c>
      <c r="U179" s="3">
        <v>34</v>
      </c>
      <c r="W179" s="45" t="str">
        <f>HYPERLINK("http://ictvonline.org/taxonomy/p/taxonomy-history?taxnode_id=201851660","ICTVonline=201851660")</f>
        <v>ICTVonline=201851660</v>
      </c>
      <c r="AA179" s="1">
        <v>201850000</v>
      </c>
      <c r="AB179" s="1">
        <v>34</v>
      </c>
    </row>
    <row r="180" spans="1:28" x14ac:dyDescent="0.15">
      <c r="A180" s="1">
        <v>483</v>
      </c>
      <c r="B180" s="1" t="s">
        <v>7159</v>
      </c>
      <c r="F180" s="1" t="s">
        <v>5617</v>
      </c>
      <c r="G180" s="1" t="s">
        <v>5618</v>
      </c>
      <c r="H180" s="1" t="s">
        <v>5633</v>
      </c>
      <c r="J180" s="1" t="s">
        <v>1005</v>
      </c>
      <c r="L180" s="1" t="s">
        <v>1436</v>
      </c>
      <c r="N180" s="1" t="s">
        <v>6025</v>
      </c>
      <c r="P180" s="1" t="s">
        <v>6026</v>
      </c>
      <c r="Q180" s="3">
        <v>1</v>
      </c>
      <c r="S180" s="23" t="s">
        <v>5949</v>
      </c>
      <c r="T180" s="23" t="s">
        <v>4929</v>
      </c>
      <c r="U180" s="3">
        <v>34</v>
      </c>
      <c r="V180" s="3" t="s">
        <v>6027</v>
      </c>
      <c r="W180" s="45" t="str">
        <f>HYPERLINK("http://ictvonline.org/taxonomy/p/taxonomy-history?taxnode_id=201856519","ICTVonline=201856519")</f>
        <v>ICTVonline=201856519</v>
      </c>
      <c r="AA180" s="1">
        <v>201850000</v>
      </c>
      <c r="AB180" s="1">
        <v>34</v>
      </c>
    </row>
    <row r="181" spans="1:28" x14ac:dyDescent="0.15">
      <c r="A181" s="1">
        <v>485</v>
      </c>
      <c r="B181" s="1" t="s">
        <v>7159</v>
      </c>
      <c r="F181" s="1" t="s">
        <v>5617</v>
      </c>
      <c r="G181" s="1" t="s">
        <v>5618</v>
      </c>
      <c r="H181" s="1" t="s">
        <v>5633</v>
      </c>
      <c r="J181" s="1" t="s">
        <v>1005</v>
      </c>
      <c r="L181" s="1" t="s">
        <v>1436</v>
      </c>
      <c r="N181" s="1" t="s">
        <v>6025</v>
      </c>
      <c r="P181" s="1" t="s">
        <v>6028</v>
      </c>
      <c r="Q181" s="3">
        <v>0</v>
      </c>
      <c r="S181" s="23" t="s">
        <v>5949</v>
      </c>
      <c r="T181" s="23" t="s">
        <v>4929</v>
      </c>
      <c r="U181" s="3">
        <v>34</v>
      </c>
      <c r="V181" s="3" t="s">
        <v>6027</v>
      </c>
      <c r="W181" s="45" t="str">
        <f>HYPERLINK("http://ictvonline.org/taxonomy/p/taxonomy-history?taxnode_id=201856520","ICTVonline=201856520")</f>
        <v>ICTVonline=201856520</v>
      </c>
      <c r="AA181" s="1">
        <v>201850000</v>
      </c>
      <c r="AB181" s="1">
        <v>34</v>
      </c>
    </row>
    <row r="182" spans="1:28" x14ac:dyDescent="0.15">
      <c r="A182" s="1">
        <v>489</v>
      </c>
      <c r="B182" s="1" t="s">
        <v>7159</v>
      </c>
      <c r="F182" s="1" t="s">
        <v>5617</v>
      </c>
      <c r="G182" s="1" t="s">
        <v>5618</v>
      </c>
      <c r="H182" s="1" t="s">
        <v>5633</v>
      </c>
      <c r="J182" s="1" t="s">
        <v>1005</v>
      </c>
      <c r="L182" s="1" t="s">
        <v>1436</v>
      </c>
      <c r="N182" s="1" t="s">
        <v>6029</v>
      </c>
      <c r="P182" s="1" t="s">
        <v>6030</v>
      </c>
      <c r="Q182" s="3">
        <v>0</v>
      </c>
      <c r="S182" s="23" t="s">
        <v>5949</v>
      </c>
      <c r="T182" s="23" t="s">
        <v>4929</v>
      </c>
      <c r="U182" s="3">
        <v>34</v>
      </c>
      <c r="V182" s="3" t="s">
        <v>6031</v>
      </c>
      <c r="W182" s="45" t="str">
        <f>HYPERLINK("http://ictvonline.org/taxonomy/p/taxonomy-history?taxnode_id=201856556","ICTVonline=201856556")</f>
        <v>ICTVonline=201856556</v>
      </c>
      <c r="AA182" s="1">
        <v>201850000</v>
      </c>
      <c r="AB182" s="1">
        <v>34</v>
      </c>
    </row>
    <row r="183" spans="1:28" x14ac:dyDescent="0.15">
      <c r="A183" s="1">
        <v>491</v>
      </c>
      <c r="B183" s="1" t="s">
        <v>7159</v>
      </c>
      <c r="F183" s="1" t="s">
        <v>5617</v>
      </c>
      <c r="G183" s="1" t="s">
        <v>5618</v>
      </c>
      <c r="H183" s="1" t="s">
        <v>5633</v>
      </c>
      <c r="J183" s="1" t="s">
        <v>1005</v>
      </c>
      <c r="L183" s="1" t="s">
        <v>1436</v>
      </c>
      <c r="N183" s="1" t="s">
        <v>6029</v>
      </c>
      <c r="P183" s="1" t="s">
        <v>6032</v>
      </c>
      <c r="Q183" s="3">
        <v>1</v>
      </c>
      <c r="S183" s="23" t="s">
        <v>5949</v>
      </c>
      <c r="T183" s="23" t="s">
        <v>4929</v>
      </c>
      <c r="U183" s="3">
        <v>34</v>
      </c>
      <c r="V183" s="3" t="s">
        <v>6031</v>
      </c>
      <c r="W183" s="45" t="str">
        <f>HYPERLINK("http://ictvonline.org/taxonomy/p/taxonomy-history?taxnode_id=201856554","ICTVonline=201856554")</f>
        <v>ICTVonline=201856554</v>
      </c>
      <c r="AA183" s="1">
        <v>201850000</v>
      </c>
      <c r="AB183" s="1">
        <v>34</v>
      </c>
    </row>
    <row r="184" spans="1:28" x14ac:dyDescent="0.15">
      <c r="A184" s="1">
        <v>493</v>
      </c>
      <c r="B184" s="1" t="s">
        <v>7159</v>
      </c>
      <c r="F184" s="1" t="s">
        <v>5617</v>
      </c>
      <c r="G184" s="1" t="s">
        <v>5618</v>
      </c>
      <c r="H184" s="1" t="s">
        <v>5633</v>
      </c>
      <c r="J184" s="1" t="s">
        <v>1005</v>
      </c>
      <c r="L184" s="1" t="s">
        <v>1436</v>
      </c>
      <c r="N184" s="1" t="s">
        <v>6029</v>
      </c>
      <c r="P184" s="1" t="s">
        <v>6033</v>
      </c>
      <c r="Q184" s="3">
        <v>0</v>
      </c>
      <c r="S184" s="23" t="s">
        <v>5949</v>
      </c>
      <c r="T184" s="23" t="s">
        <v>4929</v>
      </c>
      <c r="U184" s="3">
        <v>34</v>
      </c>
      <c r="V184" s="3" t="s">
        <v>6031</v>
      </c>
      <c r="W184" s="45" t="str">
        <f>HYPERLINK("http://ictvonline.org/taxonomy/p/taxonomy-history?taxnode_id=201856555","ICTVonline=201856555")</f>
        <v>ICTVonline=201856555</v>
      </c>
      <c r="AA184" s="1">
        <v>201850000</v>
      </c>
      <c r="AB184" s="1">
        <v>34</v>
      </c>
    </row>
    <row r="185" spans="1:28" x14ac:dyDescent="0.15">
      <c r="A185" s="1">
        <v>497</v>
      </c>
      <c r="B185" s="1" t="s">
        <v>7159</v>
      </c>
      <c r="F185" s="1" t="s">
        <v>5617</v>
      </c>
      <c r="G185" s="1" t="s">
        <v>5618</v>
      </c>
      <c r="H185" s="1" t="s">
        <v>5633</v>
      </c>
      <c r="J185" s="1" t="s">
        <v>1005</v>
      </c>
      <c r="L185" s="1" t="s">
        <v>1436</v>
      </c>
      <c r="N185" s="1" t="s">
        <v>4524</v>
      </c>
      <c r="P185" s="1" t="s">
        <v>4525</v>
      </c>
      <c r="Q185" s="3">
        <v>1</v>
      </c>
      <c r="S185" s="23" t="s">
        <v>5949</v>
      </c>
      <c r="T185" s="23" t="s">
        <v>4931</v>
      </c>
      <c r="U185" s="3">
        <v>34</v>
      </c>
      <c r="W185" s="45" t="str">
        <f>HYPERLINK("http://ictvonline.org/taxonomy/p/taxonomy-history?taxnode_id=201851662","ICTVonline=201851662")</f>
        <v>ICTVonline=201851662</v>
      </c>
      <c r="AA185" s="1">
        <v>201850000</v>
      </c>
      <c r="AB185" s="1">
        <v>34</v>
      </c>
    </row>
    <row r="186" spans="1:28" x14ac:dyDescent="0.15">
      <c r="A186" s="1">
        <v>499</v>
      </c>
      <c r="B186" s="1" t="s">
        <v>7159</v>
      </c>
      <c r="F186" s="1" t="s">
        <v>5617</v>
      </c>
      <c r="G186" s="1" t="s">
        <v>5618</v>
      </c>
      <c r="H186" s="1" t="s">
        <v>5633</v>
      </c>
      <c r="J186" s="1" t="s">
        <v>1005</v>
      </c>
      <c r="L186" s="1" t="s">
        <v>1436</v>
      </c>
      <c r="N186" s="1" t="s">
        <v>4524</v>
      </c>
      <c r="P186" s="1" t="s">
        <v>4526</v>
      </c>
      <c r="Q186" s="3">
        <v>0</v>
      </c>
      <c r="S186" s="23" t="s">
        <v>5949</v>
      </c>
      <c r="T186" s="23" t="s">
        <v>4931</v>
      </c>
      <c r="U186" s="3">
        <v>34</v>
      </c>
      <c r="W186" s="45" t="str">
        <f>HYPERLINK("http://ictvonline.org/taxonomy/p/taxonomy-history?taxnode_id=201851663","ICTVonline=201851663")</f>
        <v>ICTVonline=201851663</v>
      </c>
      <c r="AA186" s="1">
        <v>201850000</v>
      </c>
      <c r="AB186" s="1">
        <v>34</v>
      </c>
    </row>
    <row r="187" spans="1:28" x14ac:dyDescent="0.15">
      <c r="A187" s="1">
        <v>501</v>
      </c>
      <c r="B187" s="1" t="s">
        <v>7159</v>
      </c>
      <c r="F187" s="1" t="s">
        <v>5617</v>
      </c>
      <c r="G187" s="1" t="s">
        <v>5618</v>
      </c>
      <c r="H187" s="1" t="s">
        <v>5633</v>
      </c>
      <c r="J187" s="1" t="s">
        <v>1005</v>
      </c>
      <c r="L187" s="1" t="s">
        <v>1436</v>
      </c>
      <c r="N187" s="1" t="s">
        <v>4524</v>
      </c>
      <c r="P187" s="1" t="s">
        <v>4527</v>
      </c>
      <c r="Q187" s="3">
        <v>0</v>
      </c>
      <c r="S187" s="23" t="s">
        <v>5949</v>
      </c>
      <c r="T187" s="23" t="s">
        <v>4931</v>
      </c>
      <c r="U187" s="3">
        <v>34</v>
      </c>
      <c r="W187" s="45" t="str">
        <f>HYPERLINK("http://ictvonline.org/taxonomy/p/taxonomy-history?taxnode_id=201851664","ICTVonline=201851664")</f>
        <v>ICTVonline=201851664</v>
      </c>
      <c r="AA187" s="1">
        <v>201850000</v>
      </c>
      <c r="AB187" s="1">
        <v>34</v>
      </c>
    </row>
    <row r="188" spans="1:28" x14ac:dyDescent="0.15">
      <c r="A188" s="1">
        <v>503</v>
      </c>
      <c r="B188" s="1" t="s">
        <v>7159</v>
      </c>
      <c r="F188" s="1" t="s">
        <v>5617</v>
      </c>
      <c r="G188" s="1" t="s">
        <v>5618</v>
      </c>
      <c r="H188" s="1" t="s">
        <v>5633</v>
      </c>
      <c r="J188" s="1" t="s">
        <v>1005</v>
      </c>
      <c r="L188" s="1" t="s">
        <v>1436</v>
      </c>
      <c r="N188" s="1" t="s">
        <v>4524</v>
      </c>
      <c r="P188" s="1" t="s">
        <v>4528</v>
      </c>
      <c r="Q188" s="3">
        <v>0</v>
      </c>
      <c r="S188" s="23" t="s">
        <v>5949</v>
      </c>
      <c r="T188" s="23" t="s">
        <v>4931</v>
      </c>
      <c r="U188" s="3">
        <v>34</v>
      </c>
      <c r="W188" s="45" t="str">
        <f>HYPERLINK("http://ictvonline.org/taxonomy/p/taxonomy-history?taxnode_id=201851665","ICTVonline=201851665")</f>
        <v>ICTVonline=201851665</v>
      </c>
      <c r="AA188" s="1">
        <v>201850000</v>
      </c>
      <c r="AB188" s="1">
        <v>34</v>
      </c>
    </row>
    <row r="189" spans="1:28" x14ac:dyDescent="0.15">
      <c r="A189" s="1">
        <v>507</v>
      </c>
      <c r="B189" s="1" t="s">
        <v>7159</v>
      </c>
      <c r="F189" s="1" t="s">
        <v>5617</v>
      </c>
      <c r="G189" s="1" t="s">
        <v>5618</v>
      </c>
      <c r="H189" s="1" t="s">
        <v>5633</v>
      </c>
      <c r="J189" s="1" t="s">
        <v>1005</v>
      </c>
      <c r="L189" s="1" t="s">
        <v>1436</v>
      </c>
      <c r="N189" s="1" t="s">
        <v>1437</v>
      </c>
      <c r="P189" s="1" t="s">
        <v>3556</v>
      </c>
      <c r="Q189" s="3">
        <v>0</v>
      </c>
      <c r="S189" s="23" t="s">
        <v>5949</v>
      </c>
      <c r="T189" s="23" t="s">
        <v>4931</v>
      </c>
      <c r="U189" s="3">
        <v>34</v>
      </c>
      <c r="W189" s="45" t="str">
        <f>HYPERLINK("http://ictvonline.org/taxonomy/p/taxonomy-history?taxnode_id=201851667","ICTVonline=201851667")</f>
        <v>ICTVonline=201851667</v>
      </c>
      <c r="AA189" s="1">
        <v>201850000</v>
      </c>
      <c r="AB189" s="1">
        <v>34</v>
      </c>
    </row>
    <row r="190" spans="1:28" x14ac:dyDescent="0.15">
      <c r="A190" s="1">
        <v>509</v>
      </c>
      <c r="B190" s="1" t="s">
        <v>7159</v>
      </c>
      <c r="F190" s="1" t="s">
        <v>5617</v>
      </c>
      <c r="G190" s="1" t="s">
        <v>5618</v>
      </c>
      <c r="H190" s="1" t="s">
        <v>5633</v>
      </c>
      <c r="J190" s="1" t="s">
        <v>1005</v>
      </c>
      <c r="L190" s="1" t="s">
        <v>1436</v>
      </c>
      <c r="N190" s="1" t="s">
        <v>1437</v>
      </c>
      <c r="P190" s="1" t="s">
        <v>3557</v>
      </c>
      <c r="Q190" s="3">
        <v>0</v>
      </c>
      <c r="S190" s="23" t="s">
        <v>5949</v>
      </c>
      <c r="T190" s="23" t="s">
        <v>4931</v>
      </c>
      <c r="U190" s="3">
        <v>34</v>
      </c>
      <c r="W190" s="45" t="str">
        <f>HYPERLINK("http://ictvonline.org/taxonomy/p/taxonomy-history?taxnode_id=201851668","ICTVonline=201851668")</f>
        <v>ICTVonline=201851668</v>
      </c>
      <c r="AA190" s="1">
        <v>201850000</v>
      </c>
      <c r="AB190" s="1">
        <v>34</v>
      </c>
    </row>
    <row r="191" spans="1:28" x14ac:dyDescent="0.15">
      <c r="A191" s="1">
        <v>511</v>
      </c>
      <c r="B191" s="1" t="s">
        <v>7159</v>
      </c>
      <c r="F191" s="1" t="s">
        <v>5617</v>
      </c>
      <c r="G191" s="1" t="s">
        <v>5618</v>
      </c>
      <c r="H191" s="1" t="s">
        <v>5633</v>
      </c>
      <c r="J191" s="1" t="s">
        <v>1005</v>
      </c>
      <c r="L191" s="1" t="s">
        <v>1436</v>
      </c>
      <c r="N191" s="1" t="s">
        <v>1437</v>
      </c>
      <c r="P191" s="1" t="s">
        <v>3558</v>
      </c>
      <c r="Q191" s="3">
        <v>0</v>
      </c>
      <c r="S191" s="23" t="s">
        <v>5949</v>
      </c>
      <c r="T191" s="23" t="s">
        <v>4931</v>
      </c>
      <c r="U191" s="3">
        <v>34</v>
      </c>
      <c r="W191" s="45" t="str">
        <f>HYPERLINK("http://ictvonline.org/taxonomy/p/taxonomy-history?taxnode_id=201851669","ICTVonline=201851669")</f>
        <v>ICTVonline=201851669</v>
      </c>
      <c r="AA191" s="1">
        <v>201850000</v>
      </c>
      <c r="AB191" s="1">
        <v>34</v>
      </c>
    </row>
    <row r="192" spans="1:28" x14ac:dyDescent="0.15">
      <c r="A192" s="1">
        <v>513</v>
      </c>
      <c r="B192" s="1" t="s">
        <v>7159</v>
      </c>
      <c r="F192" s="1" t="s">
        <v>5617</v>
      </c>
      <c r="G192" s="1" t="s">
        <v>5618</v>
      </c>
      <c r="H192" s="1" t="s">
        <v>5633</v>
      </c>
      <c r="J192" s="1" t="s">
        <v>1005</v>
      </c>
      <c r="L192" s="1" t="s">
        <v>1436</v>
      </c>
      <c r="N192" s="1" t="s">
        <v>1437</v>
      </c>
      <c r="P192" s="1" t="s">
        <v>4529</v>
      </c>
      <c r="Q192" s="3">
        <v>0</v>
      </c>
      <c r="S192" s="23" t="s">
        <v>5949</v>
      </c>
      <c r="T192" s="23" t="s">
        <v>4931</v>
      </c>
      <c r="U192" s="3">
        <v>34</v>
      </c>
      <c r="W192" s="45" t="str">
        <f>HYPERLINK("http://ictvonline.org/taxonomy/p/taxonomy-history?taxnode_id=201851670","ICTVonline=201851670")</f>
        <v>ICTVonline=201851670</v>
      </c>
      <c r="AA192" s="1">
        <v>201850000</v>
      </c>
      <c r="AB192" s="1">
        <v>34</v>
      </c>
    </row>
    <row r="193" spans="1:28" x14ac:dyDescent="0.15">
      <c r="A193" s="1">
        <v>515</v>
      </c>
      <c r="B193" s="1" t="s">
        <v>7159</v>
      </c>
      <c r="F193" s="1" t="s">
        <v>5617</v>
      </c>
      <c r="G193" s="1" t="s">
        <v>5618</v>
      </c>
      <c r="H193" s="1" t="s">
        <v>5633</v>
      </c>
      <c r="J193" s="1" t="s">
        <v>1005</v>
      </c>
      <c r="L193" s="1" t="s">
        <v>1436</v>
      </c>
      <c r="N193" s="1" t="s">
        <v>1437</v>
      </c>
      <c r="P193" s="1" t="s">
        <v>3559</v>
      </c>
      <c r="Q193" s="3">
        <v>0</v>
      </c>
      <c r="S193" s="23" t="s">
        <v>5949</v>
      </c>
      <c r="T193" s="23" t="s">
        <v>4931</v>
      </c>
      <c r="U193" s="3">
        <v>34</v>
      </c>
      <c r="W193" s="45" t="str">
        <f>HYPERLINK("http://ictvonline.org/taxonomy/p/taxonomy-history?taxnode_id=201851671","ICTVonline=201851671")</f>
        <v>ICTVonline=201851671</v>
      </c>
      <c r="AA193" s="1">
        <v>201850000</v>
      </c>
      <c r="AB193" s="1">
        <v>34</v>
      </c>
    </row>
    <row r="194" spans="1:28" x14ac:dyDescent="0.15">
      <c r="A194" s="1">
        <v>517</v>
      </c>
      <c r="B194" s="1" t="s">
        <v>7159</v>
      </c>
      <c r="F194" s="1" t="s">
        <v>5617</v>
      </c>
      <c r="G194" s="1" t="s">
        <v>5618</v>
      </c>
      <c r="H194" s="1" t="s">
        <v>5633</v>
      </c>
      <c r="J194" s="1" t="s">
        <v>1005</v>
      </c>
      <c r="L194" s="1" t="s">
        <v>1436</v>
      </c>
      <c r="N194" s="1" t="s">
        <v>1437</v>
      </c>
      <c r="P194" s="1" t="s">
        <v>3560</v>
      </c>
      <c r="Q194" s="3">
        <v>1</v>
      </c>
      <c r="S194" s="23" t="s">
        <v>5949</v>
      </c>
      <c r="T194" s="23" t="s">
        <v>4931</v>
      </c>
      <c r="U194" s="3">
        <v>34</v>
      </c>
      <c r="W194" s="45" t="str">
        <f>HYPERLINK("http://ictvonline.org/taxonomy/p/taxonomy-history?taxnode_id=201851672","ICTVonline=201851672")</f>
        <v>ICTVonline=201851672</v>
      </c>
      <c r="AA194" s="1">
        <v>201850000</v>
      </c>
      <c r="AB194" s="1">
        <v>34</v>
      </c>
    </row>
    <row r="195" spans="1:28" x14ac:dyDescent="0.15">
      <c r="A195" s="1">
        <v>519</v>
      </c>
      <c r="B195" s="1" t="s">
        <v>7159</v>
      </c>
      <c r="F195" s="1" t="s">
        <v>5617</v>
      </c>
      <c r="G195" s="1" t="s">
        <v>5618</v>
      </c>
      <c r="H195" s="1" t="s">
        <v>5633</v>
      </c>
      <c r="J195" s="1" t="s">
        <v>1005</v>
      </c>
      <c r="L195" s="1" t="s">
        <v>1436</v>
      </c>
      <c r="N195" s="1" t="s">
        <v>1437</v>
      </c>
      <c r="P195" s="1" t="s">
        <v>3561</v>
      </c>
      <c r="Q195" s="3">
        <v>0</v>
      </c>
      <c r="S195" s="23" t="s">
        <v>5949</v>
      </c>
      <c r="T195" s="23" t="s">
        <v>4931</v>
      </c>
      <c r="U195" s="3">
        <v>34</v>
      </c>
      <c r="W195" s="45" t="str">
        <f>HYPERLINK("http://ictvonline.org/taxonomy/p/taxonomy-history?taxnode_id=201851673","ICTVonline=201851673")</f>
        <v>ICTVonline=201851673</v>
      </c>
      <c r="AA195" s="1">
        <v>201850000</v>
      </c>
      <c r="AB195" s="1">
        <v>34</v>
      </c>
    </row>
    <row r="196" spans="1:28" x14ac:dyDescent="0.15">
      <c r="A196" s="1">
        <v>521</v>
      </c>
      <c r="B196" s="1" t="s">
        <v>7159</v>
      </c>
      <c r="F196" s="1" t="s">
        <v>5617</v>
      </c>
      <c r="G196" s="1" t="s">
        <v>5618</v>
      </c>
      <c r="H196" s="1" t="s">
        <v>5633</v>
      </c>
      <c r="J196" s="1" t="s">
        <v>1005</v>
      </c>
      <c r="L196" s="1" t="s">
        <v>1436</v>
      </c>
      <c r="N196" s="1" t="s">
        <v>1437</v>
      </c>
      <c r="P196" s="1" t="s">
        <v>3562</v>
      </c>
      <c r="Q196" s="3">
        <v>0</v>
      </c>
      <c r="S196" s="23" t="s">
        <v>5949</v>
      </c>
      <c r="T196" s="23" t="s">
        <v>4931</v>
      </c>
      <c r="U196" s="3">
        <v>34</v>
      </c>
      <c r="W196" s="45" t="str">
        <f>HYPERLINK("http://ictvonline.org/taxonomy/p/taxonomy-history?taxnode_id=201851674","ICTVonline=201851674")</f>
        <v>ICTVonline=201851674</v>
      </c>
      <c r="AA196" s="1">
        <v>201850000</v>
      </c>
      <c r="AB196" s="1">
        <v>34</v>
      </c>
    </row>
    <row r="197" spans="1:28" x14ac:dyDescent="0.15">
      <c r="A197" s="1">
        <v>523</v>
      </c>
      <c r="B197" s="1" t="s">
        <v>7159</v>
      </c>
      <c r="F197" s="1" t="s">
        <v>5617</v>
      </c>
      <c r="G197" s="1" t="s">
        <v>5618</v>
      </c>
      <c r="H197" s="1" t="s">
        <v>5633</v>
      </c>
      <c r="J197" s="1" t="s">
        <v>1005</v>
      </c>
      <c r="L197" s="1" t="s">
        <v>1436</v>
      </c>
      <c r="N197" s="1" t="s">
        <v>1437</v>
      </c>
      <c r="P197" s="1" t="s">
        <v>3563</v>
      </c>
      <c r="Q197" s="3">
        <v>0</v>
      </c>
      <c r="S197" s="23" t="s">
        <v>5949</v>
      </c>
      <c r="T197" s="23" t="s">
        <v>4931</v>
      </c>
      <c r="U197" s="3">
        <v>34</v>
      </c>
      <c r="W197" s="45" t="str">
        <f>HYPERLINK("http://ictvonline.org/taxonomy/p/taxonomy-history?taxnode_id=201851675","ICTVonline=201851675")</f>
        <v>ICTVonline=201851675</v>
      </c>
      <c r="AA197" s="1">
        <v>201850000</v>
      </c>
      <c r="AB197" s="1">
        <v>34</v>
      </c>
    </row>
    <row r="198" spans="1:28" x14ac:dyDescent="0.15">
      <c r="A198" s="1">
        <v>525</v>
      </c>
      <c r="B198" s="1" t="s">
        <v>7159</v>
      </c>
      <c r="F198" s="1" t="s">
        <v>5617</v>
      </c>
      <c r="G198" s="1" t="s">
        <v>5618</v>
      </c>
      <c r="H198" s="1" t="s">
        <v>5633</v>
      </c>
      <c r="J198" s="1" t="s">
        <v>1005</v>
      </c>
      <c r="L198" s="1" t="s">
        <v>1436</v>
      </c>
      <c r="N198" s="1" t="s">
        <v>1437</v>
      </c>
      <c r="P198" s="1" t="s">
        <v>3564</v>
      </c>
      <c r="Q198" s="3">
        <v>0</v>
      </c>
      <c r="S198" s="23" t="s">
        <v>5949</v>
      </c>
      <c r="T198" s="23" t="s">
        <v>4931</v>
      </c>
      <c r="U198" s="3">
        <v>34</v>
      </c>
      <c r="W198" s="45" t="str">
        <f>HYPERLINK("http://ictvonline.org/taxonomy/p/taxonomy-history?taxnode_id=201851676","ICTVonline=201851676")</f>
        <v>ICTVonline=201851676</v>
      </c>
      <c r="AA198" s="1">
        <v>201850000</v>
      </c>
      <c r="AB198" s="1">
        <v>34</v>
      </c>
    </row>
    <row r="199" spans="1:28" x14ac:dyDescent="0.15">
      <c r="A199" s="1">
        <v>527</v>
      </c>
      <c r="B199" s="1" t="s">
        <v>7159</v>
      </c>
      <c r="F199" s="1" t="s">
        <v>5617</v>
      </c>
      <c r="G199" s="1" t="s">
        <v>5618</v>
      </c>
      <c r="H199" s="1" t="s">
        <v>5633</v>
      </c>
      <c r="J199" s="1" t="s">
        <v>1005</v>
      </c>
      <c r="L199" s="1" t="s">
        <v>1436</v>
      </c>
      <c r="N199" s="1" t="s">
        <v>1437</v>
      </c>
      <c r="P199" s="1" t="s">
        <v>3565</v>
      </c>
      <c r="Q199" s="3">
        <v>0</v>
      </c>
      <c r="S199" s="23" t="s">
        <v>5949</v>
      </c>
      <c r="T199" s="23" t="s">
        <v>4931</v>
      </c>
      <c r="U199" s="3">
        <v>34</v>
      </c>
      <c r="W199" s="45" t="str">
        <f>HYPERLINK("http://ictvonline.org/taxonomy/p/taxonomy-history?taxnode_id=201851677","ICTVonline=201851677")</f>
        <v>ICTVonline=201851677</v>
      </c>
      <c r="AA199" s="1">
        <v>201850000</v>
      </c>
      <c r="AB199" s="1">
        <v>34</v>
      </c>
    </row>
    <row r="200" spans="1:28" x14ac:dyDescent="0.15">
      <c r="A200" s="1">
        <v>531</v>
      </c>
      <c r="B200" s="1" t="s">
        <v>7159</v>
      </c>
      <c r="F200" s="1" t="s">
        <v>5617</v>
      </c>
      <c r="G200" s="1" t="s">
        <v>5618</v>
      </c>
      <c r="H200" s="1" t="s">
        <v>5633</v>
      </c>
      <c r="J200" s="1" t="s">
        <v>1005</v>
      </c>
      <c r="L200" s="1" t="s">
        <v>1436</v>
      </c>
      <c r="N200" s="1" t="s">
        <v>3566</v>
      </c>
      <c r="P200" s="1" t="s">
        <v>6034</v>
      </c>
      <c r="Q200" s="3">
        <v>0</v>
      </c>
      <c r="S200" s="23" t="s">
        <v>5949</v>
      </c>
      <c r="T200" s="23" t="s">
        <v>4929</v>
      </c>
      <c r="U200" s="3">
        <v>34</v>
      </c>
      <c r="V200" s="3" t="s">
        <v>6035</v>
      </c>
      <c r="W200" s="45" t="str">
        <f>HYPERLINK("http://ictvonline.org/taxonomy/p/taxonomy-history?taxnode_id=201856289","ICTVonline=201856289")</f>
        <v>ICTVonline=201856289</v>
      </c>
      <c r="AA200" s="1">
        <v>201850000</v>
      </c>
      <c r="AB200" s="1">
        <v>34</v>
      </c>
    </row>
    <row r="201" spans="1:28" x14ac:dyDescent="0.15">
      <c r="A201" s="1">
        <v>533</v>
      </c>
      <c r="B201" s="1" t="s">
        <v>7159</v>
      </c>
      <c r="F201" s="1" t="s">
        <v>5617</v>
      </c>
      <c r="G201" s="1" t="s">
        <v>5618</v>
      </c>
      <c r="H201" s="1" t="s">
        <v>5633</v>
      </c>
      <c r="J201" s="1" t="s">
        <v>1005</v>
      </c>
      <c r="L201" s="1" t="s">
        <v>1436</v>
      </c>
      <c r="N201" s="1" t="s">
        <v>3566</v>
      </c>
      <c r="P201" s="1" t="s">
        <v>6036</v>
      </c>
      <c r="Q201" s="3">
        <v>0</v>
      </c>
      <c r="S201" s="23" t="s">
        <v>5949</v>
      </c>
      <c r="T201" s="23" t="s">
        <v>4929</v>
      </c>
      <c r="U201" s="3">
        <v>34</v>
      </c>
      <c r="V201" s="3" t="s">
        <v>6035</v>
      </c>
      <c r="W201" s="45" t="str">
        <f>HYPERLINK("http://ictvonline.org/taxonomy/p/taxonomy-history?taxnode_id=201856287","ICTVonline=201856287")</f>
        <v>ICTVonline=201856287</v>
      </c>
      <c r="AA201" s="1">
        <v>201850000</v>
      </c>
      <c r="AB201" s="1">
        <v>34</v>
      </c>
    </row>
    <row r="202" spans="1:28" x14ac:dyDescent="0.15">
      <c r="A202" s="1">
        <v>535</v>
      </c>
      <c r="B202" s="1" t="s">
        <v>7159</v>
      </c>
      <c r="F202" s="1" t="s">
        <v>5617</v>
      </c>
      <c r="G202" s="1" t="s">
        <v>5618</v>
      </c>
      <c r="H202" s="1" t="s">
        <v>5633</v>
      </c>
      <c r="J202" s="1" t="s">
        <v>1005</v>
      </c>
      <c r="L202" s="1" t="s">
        <v>1436</v>
      </c>
      <c r="N202" s="1" t="s">
        <v>3566</v>
      </c>
      <c r="P202" s="1" t="s">
        <v>6037</v>
      </c>
      <c r="Q202" s="3">
        <v>0</v>
      </c>
      <c r="S202" s="23" t="s">
        <v>5949</v>
      </c>
      <c r="T202" s="23" t="s">
        <v>4929</v>
      </c>
      <c r="U202" s="3">
        <v>34</v>
      </c>
      <c r="V202" s="3" t="s">
        <v>6035</v>
      </c>
      <c r="W202" s="45" t="str">
        <f>HYPERLINK("http://ictvonline.org/taxonomy/p/taxonomy-history?taxnode_id=201856288","ICTVonline=201856288")</f>
        <v>ICTVonline=201856288</v>
      </c>
      <c r="AA202" s="1">
        <v>201850000</v>
      </c>
      <c r="AB202" s="1">
        <v>34</v>
      </c>
    </row>
    <row r="203" spans="1:28" x14ac:dyDescent="0.15">
      <c r="A203" s="1">
        <v>537</v>
      </c>
      <c r="B203" s="1" t="s">
        <v>7159</v>
      </c>
      <c r="F203" s="1" t="s">
        <v>5617</v>
      </c>
      <c r="G203" s="1" t="s">
        <v>5618</v>
      </c>
      <c r="H203" s="1" t="s">
        <v>5633</v>
      </c>
      <c r="J203" s="1" t="s">
        <v>1005</v>
      </c>
      <c r="L203" s="1" t="s">
        <v>1436</v>
      </c>
      <c r="N203" s="1" t="s">
        <v>3566</v>
      </c>
      <c r="P203" s="1" t="s">
        <v>3567</v>
      </c>
      <c r="Q203" s="3">
        <v>0</v>
      </c>
      <c r="S203" s="23" t="s">
        <v>5949</v>
      </c>
      <c r="T203" s="23" t="s">
        <v>4931</v>
      </c>
      <c r="U203" s="3">
        <v>34</v>
      </c>
      <c r="W203" s="45" t="str">
        <f>HYPERLINK("http://ictvonline.org/taxonomy/p/taxonomy-history?taxnode_id=201851679","ICTVonline=201851679")</f>
        <v>ICTVonline=201851679</v>
      </c>
      <c r="AA203" s="1">
        <v>201850000</v>
      </c>
      <c r="AB203" s="1">
        <v>34</v>
      </c>
    </row>
    <row r="204" spans="1:28" x14ac:dyDescent="0.15">
      <c r="A204" s="1">
        <v>539</v>
      </c>
      <c r="B204" s="1" t="s">
        <v>7159</v>
      </c>
      <c r="F204" s="1" t="s">
        <v>5617</v>
      </c>
      <c r="G204" s="1" t="s">
        <v>5618</v>
      </c>
      <c r="H204" s="1" t="s">
        <v>5633</v>
      </c>
      <c r="J204" s="1" t="s">
        <v>1005</v>
      </c>
      <c r="L204" s="1" t="s">
        <v>1436</v>
      </c>
      <c r="N204" s="1" t="s">
        <v>3566</v>
      </c>
      <c r="P204" s="1" t="s">
        <v>3568</v>
      </c>
      <c r="Q204" s="3">
        <v>1</v>
      </c>
      <c r="S204" s="23" t="s">
        <v>5949</v>
      </c>
      <c r="T204" s="23" t="s">
        <v>4931</v>
      </c>
      <c r="U204" s="3">
        <v>34</v>
      </c>
      <c r="W204" s="45" t="str">
        <f>HYPERLINK("http://ictvonline.org/taxonomy/p/taxonomy-history?taxnode_id=201851680","ICTVonline=201851680")</f>
        <v>ICTVonline=201851680</v>
      </c>
      <c r="AA204" s="1">
        <v>201850000</v>
      </c>
      <c r="AB204" s="1">
        <v>34</v>
      </c>
    </row>
    <row r="205" spans="1:28" x14ac:dyDescent="0.15">
      <c r="A205" s="1">
        <v>543</v>
      </c>
      <c r="B205" s="1" t="s">
        <v>7159</v>
      </c>
      <c r="F205" s="1" t="s">
        <v>5617</v>
      </c>
      <c r="G205" s="1" t="s">
        <v>5618</v>
      </c>
      <c r="H205" s="1" t="s">
        <v>5633</v>
      </c>
      <c r="J205" s="1" t="s">
        <v>1005</v>
      </c>
      <c r="L205" s="1" t="s">
        <v>1436</v>
      </c>
      <c r="N205" s="1" t="s">
        <v>1379</v>
      </c>
      <c r="P205" s="1" t="s">
        <v>3569</v>
      </c>
      <c r="Q205" s="3">
        <v>0</v>
      </c>
      <c r="S205" s="23" t="s">
        <v>5949</v>
      </c>
      <c r="T205" s="23" t="s">
        <v>4931</v>
      </c>
      <c r="U205" s="3">
        <v>34</v>
      </c>
      <c r="W205" s="45" t="str">
        <f>HYPERLINK("http://ictvonline.org/taxonomy/p/taxonomy-history?taxnode_id=201851682","ICTVonline=201851682")</f>
        <v>ICTVonline=201851682</v>
      </c>
      <c r="AA205" s="1">
        <v>201850000</v>
      </c>
      <c r="AB205" s="1">
        <v>34</v>
      </c>
    </row>
    <row r="206" spans="1:28" x14ac:dyDescent="0.15">
      <c r="A206" s="1">
        <v>545</v>
      </c>
      <c r="B206" s="1" t="s">
        <v>7159</v>
      </c>
      <c r="F206" s="1" t="s">
        <v>5617</v>
      </c>
      <c r="G206" s="1" t="s">
        <v>5618</v>
      </c>
      <c r="H206" s="1" t="s">
        <v>5633</v>
      </c>
      <c r="J206" s="1" t="s">
        <v>1005</v>
      </c>
      <c r="L206" s="1" t="s">
        <v>1436</v>
      </c>
      <c r="N206" s="1" t="s">
        <v>1379</v>
      </c>
      <c r="P206" s="1" t="s">
        <v>3570</v>
      </c>
      <c r="Q206" s="3">
        <v>0</v>
      </c>
      <c r="S206" s="23" t="s">
        <v>5949</v>
      </c>
      <c r="T206" s="23" t="s">
        <v>4931</v>
      </c>
      <c r="U206" s="3">
        <v>34</v>
      </c>
      <c r="W206" s="45" t="str">
        <f>HYPERLINK("http://ictvonline.org/taxonomy/p/taxonomy-history?taxnode_id=201851683","ICTVonline=201851683")</f>
        <v>ICTVonline=201851683</v>
      </c>
      <c r="AA206" s="1">
        <v>201850000</v>
      </c>
      <c r="AB206" s="1">
        <v>34</v>
      </c>
    </row>
    <row r="207" spans="1:28" x14ac:dyDescent="0.15">
      <c r="A207" s="1">
        <v>547</v>
      </c>
      <c r="B207" s="1" t="s">
        <v>7159</v>
      </c>
      <c r="F207" s="1" t="s">
        <v>5617</v>
      </c>
      <c r="G207" s="1" t="s">
        <v>5618</v>
      </c>
      <c r="H207" s="1" t="s">
        <v>5633</v>
      </c>
      <c r="J207" s="1" t="s">
        <v>1005</v>
      </c>
      <c r="L207" s="1" t="s">
        <v>1436</v>
      </c>
      <c r="N207" s="1" t="s">
        <v>1379</v>
      </c>
      <c r="P207" s="1" t="s">
        <v>3571</v>
      </c>
      <c r="Q207" s="3">
        <v>1</v>
      </c>
      <c r="S207" s="23" t="s">
        <v>5949</v>
      </c>
      <c r="T207" s="23" t="s">
        <v>4931</v>
      </c>
      <c r="U207" s="3">
        <v>34</v>
      </c>
      <c r="W207" s="45" t="str">
        <f>HYPERLINK("http://ictvonline.org/taxonomy/p/taxonomy-history?taxnode_id=201851684","ICTVonline=201851684")</f>
        <v>ICTVonline=201851684</v>
      </c>
      <c r="AA207" s="1">
        <v>201850000</v>
      </c>
      <c r="AB207" s="1">
        <v>34</v>
      </c>
    </row>
    <row r="208" spans="1:28" x14ac:dyDescent="0.15">
      <c r="A208" s="1">
        <v>549</v>
      </c>
      <c r="B208" s="1" t="s">
        <v>7159</v>
      </c>
      <c r="F208" s="1" t="s">
        <v>5617</v>
      </c>
      <c r="G208" s="1" t="s">
        <v>5618</v>
      </c>
      <c r="H208" s="1" t="s">
        <v>5633</v>
      </c>
      <c r="J208" s="1" t="s">
        <v>1005</v>
      </c>
      <c r="L208" s="1" t="s">
        <v>1436</v>
      </c>
      <c r="N208" s="1" t="s">
        <v>1379</v>
      </c>
      <c r="P208" s="1" t="s">
        <v>4530</v>
      </c>
      <c r="Q208" s="3">
        <v>0</v>
      </c>
      <c r="S208" s="23" t="s">
        <v>5949</v>
      </c>
      <c r="T208" s="23" t="s">
        <v>4931</v>
      </c>
      <c r="U208" s="3">
        <v>34</v>
      </c>
      <c r="W208" s="45" t="str">
        <f>HYPERLINK("http://ictvonline.org/taxonomy/p/taxonomy-history?taxnode_id=201851685","ICTVonline=201851685")</f>
        <v>ICTVonline=201851685</v>
      </c>
      <c r="AA208" s="1">
        <v>201850000</v>
      </c>
      <c r="AB208" s="1">
        <v>34</v>
      </c>
    </row>
    <row r="209" spans="1:28" x14ac:dyDescent="0.15">
      <c r="A209" s="1">
        <v>551</v>
      </c>
      <c r="B209" s="1" t="s">
        <v>7159</v>
      </c>
      <c r="F209" s="1" t="s">
        <v>5617</v>
      </c>
      <c r="G209" s="1" t="s">
        <v>5618</v>
      </c>
      <c r="H209" s="1" t="s">
        <v>5633</v>
      </c>
      <c r="J209" s="1" t="s">
        <v>1005</v>
      </c>
      <c r="L209" s="1" t="s">
        <v>1436</v>
      </c>
      <c r="N209" s="1" t="s">
        <v>1379</v>
      </c>
      <c r="P209" s="1" t="s">
        <v>4531</v>
      </c>
      <c r="Q209" s="3">
        <v>0</v>
      </c>
      <c r="S209" s="23" t="s">
        <v>5949</v>
      </c>
      <c r="T209" s="23" t="s">
        <v>4931</v>
      </c>
      <c r="U209" s="3">
        <v>34</v>
      </c>
      <c r="W209" s="45" t="str">
        <f>HYPERLINK("http://ictvonline.org/taxonomy/p/taxonomy-history?taxnode_id=201851686","ICTVonline=201851686")</f>
        <v>ICTVonline=201851686</v>
      </c>
      <c r="AA209" s="1">
        <v>201850000</v>
      </c>
      <c r="AB209" s="1">
        <v>34</v>
      </c>
    </row>
    <row r="210" spans="1:28" x14ac:dyDescent="0.15">
      <c r="A210" s="1">
        <v>553</v>
      </c>
      <c r="B210" s="1" t="s">
        <v>7159</v>
      </c>
      <c r="F210" s="1" t="s">
        <v>5617</v>
      </c>
      <c r="G210" s="1" t="s">
        <v>5618</v>
      </c>
      <c r="H210" s="1" t="s">
        <v>5633</v>
      </c>
      <c r="J210" s="1" t="s">
        <v>1005</v>
      </c>
      <c r="L210" s="1" t="s">
        <v>1436</v>
      </c>
      <c r="N210" s="1" t="s">
        <v>1379</v>
      </c>
      <c r="P210" s="1" t="s">
        <v>4044</v>
      </c>
      <c r="Q210" s="3">
        <v>0</v>
      </c>
      <c r="S210" s="23" t="s">
        <v>5949</v>
      </c>
      <c r="T210" s="23" t="s">
        <v>4931</v>
      </c>
      <c r="U210" s="3">
        <v>34</v>
      </c>
      <c r="W210" s="45" t="str">
        <f>HYPERLINK("http://ictvonline.org/taxonomy/p/taxonomy-history?taxnode_id=201851687","ICTVonline=201851687")</f>
        <v>ICTVonline=201851687</v>
      </c>
      <c r="AA210" s="1">
        <v>201850000</v>
      </c>
      <c r="AB210" s="1">
        <v>34</v>
      </c>
    </row>
    <row r="211" spans="1:28" x14ac:dyDescent="0.15">
      <c r="A211" s="1">
        <v>555</v>
      </c>
      <c r="B211" s="1" t="s">
        <v>7159</v>
      </c>
      <c r="F211" s="1" t="s">
        <v>5617</v>
      </c>
      <c r="G211" s="1" t="s">
        <v>5618</v>
      </c>
      <c r="H211" s="1" t="s">
        <v>5633</v>
      </c>
      <c r="J211" s="1" t="s">
        <v>1005</v>
      </c>
      <c r="L211" s="1" t="s">
        <v>1436</v>
      </c>
      <c r="N211" s="1" t="s">
        <v>1379</v>
      </c>
      <c r="P211" s="1" t="s">
        <v>3572</v>
      </c>
      <c r="Q211" s="3">
        <v>0</v>
      </c>
      <c r="S211" s="23" t="s">
        <v>5949</v>
      </c>
      <c r="T211" s="23" t="s">
        <v>4931</v>
      </c>
      <c r="U211" s="3">
        <v>34</v>
      </c>
      <c r="W211" s="45" t="str">
        <f>HYPERLINK("http://ictvonline.org/taxonomy/p/taxonomy-history?taxnode_id=201851688","ICTVonline=201851688")</f>
        <v>ICTVonline=201851688</v>
      </c>
      <c r="AA211" s="1">
        <v>201850000</v>
      </c>
      <c r="AB211" s="1">
        <v>34</v>
      </c>
    </row>
    <row r="212" spans="1:28" x14ac:dyDescent="0.15">
      <c r="A212" s="1">
        <v>557</v>
      </c>
      <c r="B212" s="1" t="s">
        <v>7159</v>
      </c>
      <c r="F212" s="1" t="s">
        <v>5617</v>
      </c>
      <c r="G212" s="1" t="s">
        <v>5618</v>
      </c>
      <c r="H212" s="1" t="s">
        <v>5633</v>
      </c>
      <c r="J212" s="1" t="s">
        <v>1005</v>
      </c>
      <c r="L212" s="1" t="s">
        <v>1436</v>
      </c>
      <c r="N212" s="1" t="s">
        <v>1379</v>
      </c>
      <c r="P212" s="1" t="s">
        <v>4532</v>
      </c>
      <c r="Q212" s="3">
        <v>0</v>
      </c>
      <c r="S212" s="23" t="s">
        <v>5949</v>
      </c>
      <c r="T212" s="23" t="s">
        <v>4931</v>
      </c>
      <c r="U212" s="3">
        <v>34</v>
      </c>
      <c r="W212" s="45" t="str">
        <f>HYPERLINK("http://ictvonline.org/taxonomy/p/taxonomy-history?taxnode_id=201851689","ICTVonline=201851689")</f>
        <v>ICTVonline=201851689</v>
      </c>
      <c r="AA212" s="1">
        <v>201850000</v>
      </c>
      <c r="AB212" s="1">
        <v>34</v>
      </c>
    </row>
    <row r="213" spans="1:28" x14ac:dyDescent="0.15">
      <c r="A213" s="1">
        <v>561</v>
      </c>
      <c r="B213" s="1" t="s">
        <v>7159</v>
      </c>
      <c r="F213" s="1" t="s">
        <v>5617</v>
      </c>
      <c r="G213" s="1" t="s">
        <v>5618</v>
      </c>
      <c r="H213" s="1" t="s">
        <v>5633</v>
      </c>
      <c r="J213" s="1" t="s">
        <v>1005</v>
      </c>
      <c r="L213" s="1" t="s">
        <v>1436</v>
      </c>
      <c r="N213" s="1" t="s">
        <v>4129</v>
      </c>
      <c r="P213" s="1" t="s">
        <v>4130</v>
      </c>
      <c r="Q213" s="3">
        <v>1</v>
      </c>
      <c r="S213" s="23" t="s">
        <v>5949</v>
      </c>
      <c r="T213" s="23" t="s">
        <v>4931</v>
      </c>
      <c r="U213" s="3">
        <v>34</v>
      </c>
      <c r="W213" s="45" t="str">
        <f>HYPERLINK("http://ictvonline.org/taxonomy/p/taxonomy-history?taxnode_id=201851691","ICTVonline=201851691")</f>
        <v>ICTVonline=201851691</v>
      </c>
      <c r="AA213" s="1">
        <v>201850000</v>
      </c>
      <c r="AB213" s="1">
        <v>34</v>
      </c>
    </row>
    <row r="214" spans="1:28" x14ac:dyDescent="0.15">
      <c r="A214" s="1">
        <v>563</v>
      </c>
      <c r="B214" s="1" t="s">
        <v>7159</v>
      </c>
      <c r="F214" s="1" t="s">
        <v>5617</v>
      </c>
      <c r="G214" s="1" t="s">
        <v>5618</v>
      </c>
      <c r="H214" s="1" t="s">
        <v>5633</v>
      </c>
      <c r="J214" s="1" t="s">
        <v>1005</v>
      </c>
      <c r="L214" s="1" t="s">
        <v>1436</v>
      </c>
      <c r="N214" s="1" t="s">
        <v>4129</v>
      </c>
      <c r="P214" s="1" t="s">
        <v>4533</v>
      </c>
      <c r="Q214" s="3">
        <v>0</v>
      </c>
      <c r="S214" s="23" t="s">
        <v>5949</v>
      </c>
      <c r="T214" s="23" t="s">
        <v>4931</v>
      </c>
      <c r="U214" s="3">
        <v>34</v>
      </c>
      <c r="W214" s="45" t="str">
        <f>HYPERLINK("http://ictvonline.org/taxonomy/p/taxonomy-history?taxnode_id=201851692","ICTVonline=201851692")</f>
        <v>ICTVonline=201851692</v>
      </c>
      <c r="AA214" s="1">
        <v>201850000</v>
      </c>
      <c r="AB214" s="1">
        <v>34</v>
      </c>
    </row>
    <row r="215" spans="1:28" x14ac:dyDescent="0.15">
      <c r="A215" s="1">
        <v>565</v>
      </c>
      <c r="B215" s="1" t="s">
        <v>7159</v>
      </c>
      <c r="F215" s="1" t="s">
        <v>5617</v>
      </c>
      <c r="G215" s="1" t="s">
        <v>5618</v>
      </c>
      <c r="H215" s="1" t="s">
        <v>5633</v>
      </c>
      <c r="J215" s="1" t="s">
        <v>1005</v>
      </c>
      <c r="L215" s="1" t="s">
        <v>1436</v>
      </c>
      <c r="N215" s="1" t="s">
        <v>4129</v>
      </c>
      <c r="P215" s="1" t="s">
        <v>4534</v>
      </c>
      <c r="Q215" s="3">
        <v>0</v>
      </c>
      <c r="S215" s="23" t="s">
        <v>5949</v>
      </c>
      <c r="T215" s="23" t="s">
        <v>4931</v>
      </c>
      <c r="U215" s="3">
        <v>34</v>
      </c>
      <c r="W215" s="45" t="str">
        <f>HYPERLINK("http://ictvonline.org/taxonomy/p/taxonomy-history?taxnode_id=201851693","ICTVonline=201851693")</f>
        <v>ICTVonline=201851693</v>
      </c>
      <c r="AA215" s="1">
        <v>201850000</v>
      </c>
      <c r="AB215" s="1">
        <v>34</v>
      </c>
    </row>
    <row r="216" spans="1:28" x14ac:dyDescent="0.15">
      <c r="A216" s="1">
        <v>567</v>
      </c>
      <c r="B216" s="1" t="s">
        <v>7159</v>
      </c>
      <c r="F216" s="1" t="s">
        <v>5617</v>
      </c>
      <c r="G216" s="1" t="s">
        <v>5618</v>
      </c>
      <c r="H216" s="1" t="s">
        <v>5633</v>
      </c>
      <c r="J216" s="1" t="s">
        <v>1005</v>
      </c>
      <c r="L216" s="1" t="s">
        <v>1436</v>
      </c>
      <c r="N216" s="1" t="s">
        <v>4129</v>
      </c>
      <c r="P216" s="1" t="s">
        <v>4535</v>
      </c>
      <c r="Q216" s="3">
        <v>0</v>
      </c>
      <c r="S216" s="23" t="s">
        <v>5949</v>
      </c>
      <c r="T216" s="23" t="s">
        <v>4931</v>
      </c>
      <c r="U216" s="3">
        <v>34</v>
      </c>
      <c r="W216" s="45" t="str">
        <f>HYPERLINK("http://ictvonline.org/taxonomy/p/taxonomy-history?taxnode_id=201851694","ICTVonline=201851694")</f>
        <v>ICTVonline=201851694</v>
      </c>
      <c r="AA216" s="1">
        <v>201850000</v>
      </c>
      <c r="AB216" s="1">
        <v>34</v>
      </c>
    </row>
    <row r="217" spans="1:28" x14ac:dyDescent="0.15">
      <c r="A217" s="1">
        <v>569</v>
      </c>
      <c r="B217" s="1" t="s">
        <v>7159</v>
      </c>
      <c r="F217" s="1" t="s">
        <v>5617</v>
      </c>
      <c r="G217" s="1" t="s">
        <v>5618</v>
      </c>
      <c r="H217" s="1" t="s">
        <v>5633</v>
      </c>
      <c r="J217" s="1" t="s">
        <v>1005</v>
      </c>
      <c r="L217" s="1" t="s">
        <v>1436</v>
      </c>
      <c r="N217" s="1" t="s">
        <v>4129</v>
      </c>
      <c r="P217" s="1" t="s">
        <v>4536</v>
      </c>
      <c r="Q217" s="3">
        <v>0</v>
      </c>
      <c r="S217" s="23" t="s">
        <v>5949</v>
      </c>
      <c r="T217" s="23" t="s">
        <v>4931</v>
      </c>
      <c r="U217" s="3">
        <v>34</v>
      </c>
      <c r="W217" s="45" t="str">
        <f>HYPERLINK("http://ictvonline.org/taxonomy/p/taxonomy-history?taxnode_id=201851695","ICTVonline=201851695")</f>
        <v>ICTVonline=201851695</v>
      </c>
      <c r="AA217" s="1">
        <v>201850000</v>
      </c>
      <c r="AB217" s="1">
        <v>34</v>
      </c>
    </row>
    <row r="218" spans="1:28" x14ac:dyDescent="0.15">
      <c r="A218" s="1">
        <v>571</v>
      </c>
      <c r="B218" s="1" t="s">
        <v>7159</v>
      </c>
      <c r="F218" s="1" t="s">
        <v>5617</v>
      </c>
      <c r="G218" s="1" t="s">
        <v>5618</v>
      </c>
      <c r="H218" s="1" t="s">
        <v>5633</v>
      </c>
      <c r="J218" s="1" t="s">
        <v>1005</v>
      </c>
      <c r="L218" s="1" t="s">
        <v>1436</v>
      </c>
      <c r="N218" s="1" t="s">
        <v>4129</v>
      </c>
      <c r="P218" s="1" t="s">
        <v>4537</v>
      </c>
      <c r="Q218" s="3">
        <v>0</v>
      </c>
      <c r="S218" s="23" t="s">
        <v>5949</v>
      </c>
      <c r="T218" s="23" t="s">
        <v>4931</v>
      </c>
      <c r="U218" s="3">
        <v>34</v>
      </c>
      <c r="W218" s="45" t="str">
        <f>HYPERLINK("http://ictvonline.org/taxonomy/p/taxonomy-history?taxnode_id=201851696","ICTVonline=201851696")</f>
        <v>ICTVonline=201851696</v>
      </c>
      <c r="AA218" s="1">
        <v>201850000</v>
      </c>
      <c r="AB218" s="1">
        <v>34</v>
      </c>
    </row>
    <row r="219" spans="1:28" x14ac:dyDescent="0.15">
      <c r="A219" s="1">
        <v>573</v>
      </c>
      <c r="B219" s="1" t="s">
        <v>7159</v>
      </c>
      <c r="F219" s="1" t="s">
        <v>5617</v>
      </c>
      <c r="G219" s="1" t="s">
        <v>5618</v>
      </c>
      <c r="H219" s="1" t="s">
        <v>5633</v>
      </c>
      <c r="J219" s="1" t="s">
        <v>1005</v>
      </c>
      <c r="L219" s="1" t="s">
        <v>1436</v>
      </c>
      <c r="N219" s="1" t="s">
        <v>4129</v>
      </c>
      <c r="P219" s="1" t="s">
        <v>4538</v>
      </c>
      <c r="Q219" s="3">
        <v>0</v>
      </c>
      <c r="S219" s="23" t="s">
        <v>5949</v>
      </c>
      <c r="T219" s="23" t="s">
        <v>4931</v>
      </c>
      <c r="U219" s="3">
        <v>34</v>
      </c>
      <c r="W219" s="45" t="str">
        <f>HYPERLINK("http://ictvonline.org/taxonomy/p/taxonomy-history?taxnode_id=201851697","ICTVonline=201851697")</f>
        <v>ICTVonline=201851697</v>
      </c>
      <c r="AA219" s="1">
        <v>201850000</v>
      </c>
      <c r="AB219" s="1">
        <v>34</v>
      </c>
    </row>
    <row r="220" spans="1:28" x14ac:dyDescent="0.15">
      <c r="A220" s="1">
        <v>575</v>
      </c>
      <c r="B220" s="1" t="s">
        <v>7159</v>
      </c>
      <c r="F220" s="1" t="s">
        <v>5617</v>
      </c>
      <c r="G220" s="1" t="s">
        <v>5618</v>
      </c>
      <c r="H220" s="1" t="s">
        <v>5633</v>
      </c>
      <c r="J220" s="1" t="s">
        <v>1005</v>
      </c>
      <c r="L220" s="1" t="s">
        <v>1436</v>
      </c>
      <c r="N220" s="1" t="s">
        <v>4129</v>
      </c>
      <c r="P220" s="1" t="s">
        <v>4539</v>
      </c>
      <c r="Q220" s="3">
        <v>0</v>
      </c>
      <c r="S220" s="23" t="s">
        <v>5949</v>
      </c>
      <c r="T220" s="23" t="s">
        <v>4931</v>
      </c>
      <c r="U220" s="3">
        <v>34</v>
      </c>
      <c r="W220" s="45" t="str">
        <f>HYPERLINK("http://ictvonline.org/taxonomy/p/taxonomy-history?taxnode_id=201851698","ICTVonline=201851698")</f>
        <v>ICTVonline=201851698</v>
      </c>
      <c r="AA220" s="1">
        <v>201850000</v>
      </c>
      <c r="AB220" s="1">
        <v>34</v>
      </c>
    </row>
    <row r="221" spans="1:28" x14ac:dyDescent="0.15">
      <c r="A221" s="1">
        <v>577</v>
      </c>
      <c r="B221" s="1" t="s">
        <v>7159</v>
      </c>
      <c r="F221" s="1" t="s">
        <v>5617</v>
      </c>
      <c r="G221" s="1" t="s">
        <v>5618</v>
      </c>
      <c r="H221" s="1" t="s">
        <v>5633</v>
      </c>
      <c r="J221" s="1" t="s">
        <v>1005</v>
      </c>
      <c r="L221" s="1" t="s">
        <v>1436</v>
      </c>
      <c r="N221" s="1" t="s">
        <v>4129</v>
      </c>
      <c r="P221" s="1" t="s">
        <v>4540</v>
      </c>
      <c r="Q221" s="3">
        <v>0</v>
      </c>
      <c r="S221" s="23" t="s">
        <v>5949</v>
      </c>
      <c r="T221" s="23" t="s">
        <v>4931</v>
      </c>
      <c r="U221" s="3">
        <v>34</v>
      </c>
      <c r="W221" s="45" t="str">
        <f>HYPERLINK("http://ictvonline.org/taxonomy/p/taxonomy-history?taxnode_id=201851699","ICTVonline=201851699")</f>
        <v>ICTVonline=201851699</v>
      </c>
      <c r="AA221" s="1">
        <v>201850000</v>
      </c>
      <c r="AB221" s="1">
        <v>34</v>
      </c>
    </row>
    <row r="222" spans="1:28" x14ac:dyDescent="0.15">
      <c r="A222" s="1">
        <v>579</v>
      </c>
      <c r="B222" s="1" t="s">
        <v>7159</v>
      </c>
      <c r="F222" s="1" t="s">
        <v>5617</v>
      </c>
      <c r="G222" s="1" t="s">
        <v>5618</v>
      </c>
      <c r="H222" s="1" t="s">
        <v>5633</v>
      </c>
      <c r="J222" s="1" t="s">
        <v>1005</v>
      </c>
      <c r="L222" s="1" t="s">
        <v>1436</v>
      </c>
      <c r="N222" s="1" t="s">
        <v>4129</v>
      </c>
      <c r="P222" s="1" t="s">
        <v>4541</v>
      </c>
      <c r="Q222" s="3">
        <v>0</v>
      </c>
      <c r="S222" s="23" t="s">
        <v>5949</v>
      </c>
      <c r="T222" s="23" t="s">
        <v>4931</v>
      </c>
      <c r="U222" s="3">
        <v>34</v>
      </c>
      <c r="W222" s="45" t="str">
        <f>HYPERLINK("http://ictvonline.org/taxonomy/p/taxonomy-history?taxnode_id=201851700","ICTVonline=201851700")</f>
        <v>ICTVonline=201851700</v>
      </c>
      <c r="AA222" s="1">
        <v>201850000</v>
      </c>
      <c r="AB222" s="1">
        <v>34</v>
      </c>
    </row>
    <row r="223" spans="1:28" x14ac:dyDescent="0.15">
      <c r="A223" s="1">
        <v>581</v>
      </c>
      <c r="B223" s="1" t="s">
        <v>7159</v>
      </c>
      <c r="F223" s="1" t="s">
        <v>5617</v>
      </c>
      <c r="G223" s="1" t="s">
        <v>5618</v>
      </c>
      <c r="H223" s="1" t="s">
        <v>5633</v>
      </c>
      <c r="J223" s="1" t="s">
        <v>1005</v>
      </c>
      <c r="L223" s="1" t="s">
        <v>1436</v>
      </c>
      <c r="N223" s="1" t="s">
        <v>4129</v>
      </c>
      <c r="P223" s="1" t="s">
        <v>4542</v>
      </c>
      <c r="Q223" s="3">
        <v>0</v>
      </c>
      <c r="S223" s="23" t="s">
        <v>5949</v>
      </c>
      <c r="T223" s="23" t="s">
        <v>4931</v>
      </c>
      <c r="U223" s="3">
        <v>34</v>
      </c>
      <c r="W223" s="45" t="str">
        <f>HYPERLINK("http://ictvonline.org/taxonomy/p/taxonomy-history?taxnode_id=201851701","ICTVonline=201851701")</f>
        <v>ICTVonline=201851701</v>
      </c>
      <c r="AA223" s="1">
        <v>201850000</v>
      </c>
      <c r="AB223" s="1">
        <v>34</v>
      </c>
    </row>
    <row r="224" spans="1:28" x14ac:dyDescent="0.15">
      <c r="A224" s="1">
        <v>583</v>
      </c>
      <c r="B224" s="1" t="s">
        <v>7159</v>
      </c>
      <c r="F224" s="1" t="s">
        <v>5617</v>
      </c>
      <c r="G224" s="1" t="s">
        <v>5618</v>
      </c>
      <c r="H224" s="1" t="s">
        <v>5633</v>
      </c>
      <c r="J224" s="1" t="s">
        <v>1005</v>
      </c>
      <c r="L224" s="1" t="s">
        <v>1436</v>
      </c>
      <c r="N224" s="1" t="s">
        <v>4129</v>
      </c>
      <c r="P224" s="1" t="s">
        <v>4131</v>
      </c>
      <c r="Q224" s="3">
        <v>0</v>
      </c>
      <c r="S224" s="23" t="s">
        <v>5949</v>
      </c>
      <c r="T224" s="23" t="s">
        <v>4931</v>
      </c>
      <c r="U224" s="3">
        <v>34</v>
      </c>
      <c r="W224" s="45" t="str">
        <f>HYPERLINK("http://ictvonline.org/taxonomy/p/taxonomy-history?taxnode_id=201851702","ICTVonline=201851702")</f>
        <v>ICTVonline=201851702</v>
      </c>
      <c r="AA224" s="1">
        <v>201850000</v>
      </c>
      <c r="AB224" s="1">
        <v>34</v>
      </c>
    </row>
    <row r="225" spans="1:28" x14ac:dyDescent="0.15">
      <c r="A225" s="1">
        <v>585</v>
      </c>
      <c r="B225" s="1" t="s">
        <v>7159</v>
      </c>
      <c r="F225" s="1" t="s">
        <v>5617</v>
      </c>
      <c r="G225" s="1" t="s">
        <v>5618</v>
      </c>
      <c r="H225" s="1" t="s">
        <v>5633</v>
      </c>
      <c r="J225" s="1" t="s">
        <v>1005</v>
      </c>
      <c r="L225" s="1" t="s">
        <v>1436</v>
      </c>
      <c r="N225" s="1" t="s">
        <v>4129</v>
      </c>
      <c r="P225" s="1" t="s">
        <v>4543</v>
      </c>
      <c r="Q225" s="3">
        <v>0</v>
      </c>
      <c r="S225" s="23" t="s">
        <v>5949</v>
      </c>
      <c r="T225" s="23" t="s">
        <v>4931</v>
      </c>
      <c r="U225" s="3">
        <v>34</v>
      </c>
      <c r="W225" s="45" t="str">
        <f>HYPERLINK("http://ictvonline.org/taxonomy/p/taxonomy-history?taxnode_id=201851703","ICTVonline=201851703")</f>
        <v>ICTVonline=201851703</v>
      </c>
      <c r="AA225" s="1">
        <v>201850000</v>
      </c>
      <c r="AB225" s="1">
        <v>34</v>
      </c>
    </row>
    <row r="226" spans="1:28" x14ac:dyDescent="0.15">
      <c r="A226" s="1">
        <v>587</v>
      </c>
      <c r="B226" s="1" t="s">
        <v>7159</v>
      </c>
      <c r="F226" s="1" t="s">
        <v>5617</v>
      </c>
      <c r="G226" s="1" t="s">
        <v>5618</v>
      </c>
      <c r="H226" s="1" t="s">
        <v>5633</v>
      </c>
      <c r="J226" s="1" t="s">
        <v>1005</v>
      </c>
      <c r="L226" s="1" t="s">
        <v>1436</v>
      </c>
      <c r="N226" s="1" t="s">
        <v>4129</v>
      </c>
      <c r="P226" s="1" t="s">
        <v>4544</v>
      </c>
      <c r="Q226" s="3">
        <v>0</v>
      </c>
      <c r="S226" s="23" t="s">
        <v>5949</v>
      </c>
      <c r="T226" s="23" t="s">
        <v>4931</v>
      </c>
      <c r="U226" s="3">
        <v>34</v>
      </c>
      <c r="W226" s="45" t="str">
        <f>HYPERLINK("http://ictvonline.org/taxonomy/p/taxonomy-history?taxnode_id=201851704","ICTVonline=201851704")</f>
        <v>ICTVonline=201851704</v>
      </c>
      <c r="AA226" s="1">
        <v>201850000</v>
      </c>
      <c r="AB226" s="1">
        <v>34</v>
      </c>
    </row>
    <row r="227" spans="1:28" x14ac:dyDescent="0.15">
      <c r="A227" s="1">
        <v>589</v>
      </c>
      <c r="B227" s="1" t="s">
        <v>7159</v>
      </c>
      <c r="F227" s="1" t="s">
        <v>5617</v>
      </c>
      <c r="G227" s="1" t="s">
        <v>5618</v>
      </c>
      <c r="H227" s="1" t="s">
        <v>5633</v>
      </c>
      <c r="J227" s="1" t="s">
        <v>1005</v>
      </c>
      <c r="L227" s="1" t="s">
        <v>1436</v>
      </c>
      <c r="N227" s="1" t="s">
        <v>4129</v>
      </c>
      <c r="P227" s="1" t="s">
        <v>4132</v>
      </c>
      <c r="Q227" s="3">
        <v>0</v>
      </c>
      <c r="S227" s="23" t="s">
        <v>5949</v>
      </c>
      <c r="T227" s="23" t="s">
        <v>4931</v>
      </c>
      <c r="U227" s="3">
        <v>34</v>
      </c>
      <c r="W227" s="45" t="str">
        <f>HYPERLINK("http://ictvonline.org/taxonomy/p/taxonomy-history?taxnode_id=201851705","ICTVonline=201851705")</f>
        <v>ICTVonline=201851705</v>
      </c>
      <c r="AA227" s="1">
        <v>201850000</v>
      </c>
      <c r="AB227" s="1">
        <v>34</v>
      </c>
    </row>
    <row r="228" spans="1:28" x14ac:dyDescent="0.15">
      <c r="A228" s="1">
        <v>593</v>
      </c>
      <c r="B228" s="1" t="s">
        <v>7159</v>
      </c>
      <c r="F228" s="1" t="s">
        <v>5617</v>
      </c>
      <c r="G228" s="1" t="s">
        <v>5618</v>
      </c>
      <c r="H228" s="1" t="s">
        <v>5633</v>
      </c>
      <c r="J228" s="1" t="s">
        <v>1005</v>
      </c>
      <c r="L228" s="1" t="s">
        <v>1436</v>
      </c>
      <c r="N228" s="1" t="s">
        <v>4545</v>
      </c>
      <c r="P228" s="1" t="s">
        <v>4546</v>
      </c>
      <c r="Q228" s="3">
        <v>0</v>
      </c>
      <c r="S228" s="23" t="s">
        <v>5949</v>
      </c>
      <c r="T228" s="23" t="s">
        <v>4931</v>
      </c>
      <c r="U228" s="3">
        <v>34</v>
      </c>
      <c r="W228" s="45" t="str">
        <f>HYPERLINK("http://ictvonline.org/taxonomy/p/taxonomy-history?taxnode_id=201851707","ICTVonline=201851707")</f>
        <v>ICTVonline=201851707</v>
      </c>
      <c r="AA228" s="1">
        <v>201850000</v>
      </c>
      <c r="AB228" s="1">
        <v>34</v>
      </c>
    </row>
    <row r="229" spans="1:28" x14ac:dyDescent="0.15">
      <c r="A229" s="1">
        <v>595</v>
      </c>
      <c r="B229" s="1" t="s">
        <v>7159</v>
      </c>
      <c r="F229" s="1" t="s">
        <v>5617</v>
      </c>
      <c r="G229" s="1" t="s">
        <v>5618</v>
      </c>
      <c r="H229" s="1" t="s">
        <v>5633</v>
      </c>
      <c r="J229" s="1" t="s">
        <v>1005</v>
      </c>
      <c r="L229" s="1" t="s">
        <v>1436</v>
      </c>
      <c r="N229" s="1" t="s">
        <v>4545</v>
      </c>
      <c r="P229" s="1" t="s">
        <v>4547</v>
      </c>
      <c r="Q229" s="3">
        <v>0</v>
      </c>
      <c r="S229" s="23" t="s">
        <v>5949</v>
      </c>
      <c r="T229" s="23" t="s">
        <v>4931</v>
      </c>
      <c r="U229" s="3">
        <v>34</v>
      </c>
      <c r="W229" s="45" t="str">
        <f>HYPERLINK("http://ictvonline.org/taxonomy/p/taxonomy-history?taxnode_id=201851708","ICTVonline=201851708")</f>
        <v>ICTVonline=201851708</v>
      </c>
      <c r="AA229" s="1">
        <v>201850000</v>
      </c>
      <c r="AB229" s="1">
        <v>34</v>
      </c>
    </row>
    <row r="230" spans="1:28" x14ac:dyDescent="0.15">
      <c r="A230" s="1">
        <v>597</v>
      </c>
      <c r="B230" s="1" t="s">
        <v>7159</v>
      </c>
      <c r="F230" s="1" t="s">
        <v>5617</v>
      </c>
      <c r="G230" s="1" t="s">
        <v>5618</v>
      </c>
      <c r="H230" s="1" t="s">
        <v>5633</v>
      </c>
      <c r="J230" s="1" t="s">
        <v>1005</v>
      </c>
      <c r="L230" s="1" t="s">
        <v>1436</v>
      </c>
      <c r="N230" s="1" t="s">
        <v>4545</v>
      </c>
      <c r="P230" s="1" t="s">
        <v>4548</v>
      </c>
      <c r="Q230" s="3">
        <v>0</v>
      </c>
      <c r="S230" s="23" t="s">
        <v>5949</v>
      </c>
      <c r="T230" s="23" t="s">
        <v>4931</v>
      </c>
      <c r="U230" s="3">
        <v>34</v>
      </c>
      <c r="W230" s="45" t="str">
        <f>HYPERLINK("http://ictvonline.org/taxonomy/p/taxonomy-history?taxnode_id=201851709","ICTVonline=201851709")</f>
        <v>ICTVonline=201851709</v>
      </c>
      <c r="AA230" s="1">
        <v>201850000</v>
      </c>
      <c r="AB230" s="1">
        <v>34</v>
      </c>
    </row>
    <row r="231" spans="1:28" x14ac:dyDescent="0.15">
      <c r="A231" s="1">
        <v>599</v>
      </c>
      <c r="B231" s="1" t="s">
        <v>7159</v>
      </c>
      <c r="F231" s="1" t="s">
        <v>5617</v>
      </c>
      <c r="G231" s="1" t="s">
        <v>5618</v>
      </c>
      <c r="H231" s="1" t="s">
        <v>5633</v>
      </c>
      <c r="J231" s="1" t="s">
        <v>1005</v>
      </c>
      <c r="L231" s="1" t="s">
        <v>1436</v>
      </c>
      <c r="N231" s="1" t="s">
        <v>4545</v>
      </c>
      <c r="P231" s="1" t="s">
        <v>5111</v>
      </c>
      <c r="Q231" s="3">
        <v>0</v>
      </c>
      <c r="S231" s="23" t="s">
        <v>5949</v>
      </c>
      <c r="T231" s="23" t="s">
        <v>4931</v>
      </c>
      <c r="U231" s="3">
        <v>34</v>
      </c>
      <c r="W231" s="45" t="str">
        <f>HYPERLINK("http://ictvonline.org/taxonomy/p/taxonomy-history?taxnode_id=201855580","ICTVonline=201855580")</f>
        <v>ICTVonline=201855580</v>
      </c>
      <c r="AA231" s="1">
        <v>201850000</v>
      </c>
      <c r="AB231" s="1">
        <v>34</v>
      </c>
    </row>
    <row r="232" spans="1:28" x14ac:dyDescent="0.15">
      <c r="A232" s="1">
        <v>601</v>
      </c>
      <c r="B232" s="1" t="s">
        <v>7159</v>
      </c>
      <c r="F232" s="1" t="s">
        <v>5617</v>
      </c>
      <c r="G232" s="1" t="s">
        <v>5618</v>
      </c>
      <c r="H232" s="1" t="s">
        <v>5633</v>
      </c>
      <c r="J232" s="1" t="s">
        <v>1005</v>
      </c>
      <c r="L232" s="1" t="s">
        <v>1436</v>
      </c>
      <c r="N232" s="1" t="s">
        <v>4545</v>
      </c>
      <c r="P232" s="1" t="s">
        <v>4549</v>
      </c>
      <c r="Q232" s="3">
        <v>0</v>
      </c>
      <c r="S232" s="23" t="s">
        <v>5949</v>
      </c>
      <c r="T232" s="23" t="s">
        <v>4931</v>
      </c>
      <c r="U232" s="3">
        <v>34</v>
      </c>
      <c r="W232" s="45" t="str">
        <f>HYPERLINK("http://ictvonline.org/taxonomy/p/taxonomy-history?taxnode_id=201851710","ICTVonline=201851710")</f>
        <v>ICTVonline=201851710</v>
      </c>
      <c r="AA232" s="1">
        <v>201850000</v>
      </c>
      <c r="AB232" s="1">
        <v>34</v>
      </c>
    </row>
    <row r="233" spans="1:28" x14ac:dyDescent="0.15">
      <c r="A233" s="1">
        <v>603</v>
      </c>
      <c r="B233" s="1" t="s">
        <v>7159</v>
      </c>
      <c r="F233" s="1" t="s">
        <v>5617</v>
      </c>
      <c r="G233" s="1" t="s">
        <v>5618</v>
      </c>
      <c r="H233" s="1" t="s">
        <v>5633</v>
      </c>
      <c r="J233" s="1" t="s">
        <v>1005</v>
      </c>
      <c r="L233" s="1" t="s">
        <v>1436</v>
      </c>
      <c r="N233" s="1" t="s">
        <v>4545</v>
      </c>
      <c r="P233" s="1" t="s">
        <v>4550</v>
      </c>
      <c r="Q233" s="3">
        <v>0</v>
      </c>
      <c r="S233" s="23" t="s">
        <v>5949</v>
      </c>
      <c r="T233" s="23" t="s">
        <v>4931</v>
      </c>
      <c r="U233" s="3">
        <v>34</v>
      </c>
      <c r="W233" s="45" t="str">
        <f>HYPERLINK("http://ictvonline.org/taxonomy/p/taxonomy-history?taxnode_id=201851711","ICTVonline=201851711")</f>
        <v>ICTVonline=201851711</v>
      </c>
      <c r="AA233" s="1">
        <v>201850000</v>
      </c>
      <c r="AB233" s="1">
        <v>34</v>
      </c>
    </row>
    <row r="234" spans="1:28" x14ac:dyDescent="0.15">
      <c r="A234" s="1">
        <v>605</v>
      </c>
      <c r="B234" s="1" t="s">
        <v>7159</v>
      </c>
      <c r="F234" s="1" t="s">
        <v>5617</v>
      </c>
      <c r="G234" s="1" t="s">
        <v>5618</v>
      </c>
      <c r="H234" s="1" t="s">
        <v>5633</v>
      </c>
      <c r="J234" s="1" t="s">
        <v>1005</v>
      </c>
      <c r="L234" s="1" t="s">
        <v>1436</v>
      </c>
      <c r="N234" s="1" t="s">
        <v>4545</v>
      </c>
      <c r="P234" s="1" t="s">
        <v>4551</v>
      </c>
      <c r="Q234" s="3">
        <v>0</v>
      </c>
      <c r="S234" s="23" t="s">
        <v>5949</v>
      </c>
      <c r="T234" s="23" t="s">
        <v>4931</v>
      </c>
      <c r="U234" s="3">
        <v>34</v>
      </c>
      <c r="W234" s="45" t="str">
        <f>HYPERLINK("http://ictvonline.org/taxonomy/p/taxonomy-history?taxnode_id=201851712","ICTVonline=201851712")</f>
        <v>ICTVonline=201851712</v>
      </c>
      <c r="AA234" s="1">
        <v>201850000</v>
      </c>
      <c r="AB234" s="1">
        <v>34</v>
      </c>
    </row>
    <row r="235" spans="1:28" x14ac:dyDescent="0.15">
      <c r="A235" s="1">
        <v>607</v>
      </c>
      <c r="B235" s="1" t="s">
        <v>7159</v>
      </c>
      <c r="F235" s="1" t="s">
        <v>5617</v>
      </c>
      <c r="G235" s="1" t="s">
        <v>5618</v>
      </c>
      <c r="H235" s="1" t="s">
        <v>5633</v>
      </c>
      <c r="J235" s="1" t="s">
        <v>1005</v>
      </c>
      <c r="L235" s="1" t="s">
        <v>1436</v>
      </c>
      <c r="N235" s="1" t="s">
        <v>4545</v>
      </c>
      <c r="P235" s="1" t="s">
        <v>4552</v>
      </c>
      <c r="Q235" s="3">
        <v>0</v>
      </c>
      <c r="S235" s="23" t="s">
        <v>5949</v>
      </c>
      <c r="T235" s="23" t="s">
        <v>4931</v>
      </c>
      <c r="U235" s="3">
        <v>34</v>
      </c>
      <c r="W235" s="45" t="str">
        <f>HYPERLINK("http://ictvonline.org/taxonomy/p/taxonomy-history?taxnode_id=201851713","ICTVonline=201851713")</f>
        <v>ICTVonline=201851713</v>
      </c>
      <c r="AA235" s="1">
        <v>201850000</v>
      </c>
      <c r="AB235" s="1">
        <v>34</v>
      </c>
    </row>
    <row r="236" spans="1:28" x14ac:dyDescent="0.15">
      <c r="A236" s="1">
        <v>609</v>
      </c>
      <c r="B236" s="1" t="s">
        <v>7159</v>
      </c>
      <c r="F236" s="1" t="s">
        <v>5617</v>
      </c>
      <c r="G236" s="1" t="s">
        <v>5618</v>
      </c>
      <c r="H236" s="1" t="s">
        <v>5633</v>
      </c>
      <c r="J236" s="1" t="s">
        <v>1005</v>
      </c>
      <c r="L236" s="1" t="s">
        <v>1436</v>
      </c>
      <c r="N236" s="1" t="s">
        <v>4545</v>
      </c>
      <c r="P236" s="1" t="s">
        <v>4553</v>
      </c>
      <c r="Q236" s="3">
        <v>1</v>
      </c>
      <c r="S236" s="23" t="s">
        <v>5949</v>
      </c>
      <c r="T236" s="23" t="s">
        <v>4931</v>
      </c>
      <c r="U236" s="3">
        <v>34</v>
      </c>
      <c r="W236" s="45" t="str">
        <f>HYPERLINK("http://ictvonline.org/taxonomy/p/taxonomy-history?taxnode_id=201851714","ICTVonline=201851714")</f>
        <v>ICTVonline=201851714</v>
      </c>
      <c r="AA236" s="1">
        <v>201850000</v>
      </c>
      <c r="AB236" s="1">
        <v>34</v>
      </c>
    </row>
    <row r="237" spans="1:28" x14ac:dyDescent="0.15">
      <c r="A237" s="1">
        <v>611</v>
      </c>
      <c r="B237" s="1" t="s">
        <v>7159</v>
      </c>
      <c r="F237" s="1" t="s">
        <v>5617</v>
      </c>
      <c r="G237" s="1" t="s">
        <v>5618</v>
      </c>
      <c r="H237" s="1" t="s">
        <v>5633</v>
      </c>
      <c r="J237" s="1" t="s">
        <v>1005</v>
      </c>
      <c r="L237" s="1" t="s">
        <v>1436</v>
      </c>
      <c r="N237" s="1" t="s">
        <v>4545</v>
      </c>
      <c r="P237" s="1" t="s">
        <v>4554</v>
      </c>
      <c r="Q237" s="3">
        <v>0</v>
      </c>
      <c r="S237" s="23" t="s">
        <v>5949</v>
      </c>
      <c r="T237" s="23" t="s">
        <v>4931</v>
      </c>
      <c r="U237" s="3">
        <v>34</v>
      </c>
      <c r="W237" s="45" t="str">
        <f>HYPERLINK("http://ictvonline.org/taxonomy/p/taxonomy-history?taxnode_id=201851715","ICTVonline=201851715")</f>
        <v>ICTVonline=201851715</v>
      </c>
      <c r="AA237" s="1">
        <v>201850000</v>
      </c>
      <c r="AB237" s="1">
        <v>34</v>
      </c>
    </row>
    <row r="238" spans="1:28" x14ac:dyDescent="0.15">
      <c r="A238" s="1">
        <v>613</v>
      </c>
      <c r="B238" s="1" t="s">
        <v>7159</v>
      </c>
      <c r="F238" s="1" t="s">
        <v>5617</v>
      </c>
      <c r="G238" s="1" t="s">
        <v>5618</v>
      </c>
      <c r="H238" s="1" t="s">
        <v>5633</v>
      </c>
      <c r="J238" s="1" t="s">
        <v>1005</v>
      </c>
      <c r="L238" s="1" t="s">
        <v>1436</v>
      </c>
      <c r="N238" s="1" t="s">
        <v>4545</v>
      </c>
      <c r="P238" s="1" t="s">
        <v>4555</v>
      </c>
      <c r="Q238" s="3">
        <v>0</v>
      </c>
      <c r="S238" s="23" t="s">
        <v>5949</v>
      </c>
      <c r="T238" s="23" t="s">
        <v>4931</v>
      </c>
      <c r="U238" s="3">
        <v>34</v>
      </c>
      <c r="W238" s="45" t="str">
        <f>HYPERLINK("http://ictvonline.org/taxonomy/p/taxonomy-history?taxnode_id=201851716","ICTVonline=201851716")</f>
        <v>ICTVonline=201851716</v>
      </c>
      <c r="AA238" s="1">
        <v>201850000</v>
      </c>
      <c r="AB238" s="1">
        <v>34</v>
      </c>
    </row>
    <row r="239" spans="1:28" x14ac:dyDescent="0.15">
      <c r="A239" s="1">
        <v>615</v>
      </c>
      <c r="B239" s="1" t="s">
        <v>7159</v>
      </c>
      <c r="F239" s="1" t="s">
        <v>5617</v>
      </c>
      <c r="G239" s="1" t="s">
        <v>5618</v>
      </c>
      <c r="H239" s="1" t="s">
        <v>5633</v>
      </c>
      <c r="J239" s="1" t="s">
        <v>1005</v>
      </c>
      <c r="L239" s="1" t="s">
        <v>1436</v>
      </c>
      <c r="N239" s="1" t="s">
        <v>4545</v>
      </c>
      <c r="P239" s="1" t="s">
        <v>4556</v>
      </c>
      <c r="Q239" s="3">
        <v>0</v>
      </c>
      <c r="S239" s="23" t="s">
        <v>5949</v>
      </c>
      <c r="T239" s="23" t="s">
        <v>4931</v>
      </c>
      <c r="U239" s="3">
        <v>34</v>
      </c>
      <c r="W239" s="45" t="str">
        <f>HYPERLINK("http://ictvonline.org/taxonomy/p/taxonomy-history?taxnode_id=201851717","ICTVonline=201851717")</f>
        <v>ICTVonline=201851717</v>
      </c>
      <c r="AA239" s="1">
        <v>201850000</v>
      </c>
      <c r="AB239" s="1">
        <v>34</v>
      </c>
    </row>
    <row r="240" spans="1:28" x14ac:dyDescent="0.15">
      <c r="A240" s="1">
        <v>617</v>
      </c>
      <c r="B240" s="1" t="s">
        <v>7159</v>
      </c>
      <c r="F240" s="1" t="s">
        <v>5617</v>
      </c>
      <c r="G240" s="1" t="s">
        <v>5618</v>
      </c>
      <c r="H240" s="1" t="s">
        <v>5633</v>
      </c>
      <c r="J240" s="1" t="s">
        <v>1005</v>
      </c>
      <c r="L240" s="1" t="s">
        <v>1436</v>
      </c>
      <c r="N240" s="1" t="s">
        <v>4545</v>
      </c>
      <c r="P240" s="1" t="s">
        <v>4557</v>
      </c>
      <c r="Q240" s="3">
        <v>0</v>
      </c>
      <c r="S240" s="23" t="s">
        <v>5949</v>
      </c>
      <c r="T240" s="23" t="s">
        <v>4931</v>
      </c>
      <c r="U240" s="3">
        <v>34</v>
      </c>
      <c r="W240" s="45" t="str">
        <f>HYPERLINK("http://ictvonline.org/taxonomy/p/taxonomy-history?taxnode_id=201851718","ICTVonline=201851718")</f>
        <v>ICTVonline=201851718</v>
      </c>
      <c r="AA240" s="1">
        <v>201850000</v>
      </c>
      <c r="AB240" s="1">
        <v>34</v>
      </c>
    </row>
    <row r="241" spans="1:28" x14ac:dyDescent="0.15">
      <c r="A241" s="1">
        <v>619</v>
      </c>
      <c r="B241" s="1" t="s">
        <v>7159</v>
      </c>
      <c r="F241" s="1" t="s">
        <v>5617</v>
      </c>
      <c r="G241" s="1" t="s">
        <v>5618</v>
      </c>
      <c r="H241" s="1" t="s">
        <v>5633</v>
      </c>
      <c r="J241" s="1" t="s">
        <v>1005</v>
      </c>
      <c r="L241" s="1" t="s">
        <v>1436</v>
      </c>
      <c r="N241" s="1" t="s">
        <v>4545</v>
      </c>
      <c r="P241" s="1" t="s">
        <v>6038</v>
      </c>
      <c r="Q241" s="3">
        <v>0</v>
      </c>
      <c r="S241" s="23" t="s">
        <v>5949</v>
      </c>
      <c r="T241" s="23" t="s">
        <v>4929</v>
      </c>
      <c r="U241" s="3">
        <v>34</v>
      </c>
      <c r="V241" s="3" t="s">
        <v>6039</v>
      </c>
      <c r="W241" s="45" t="str">
        <f>HYPERLINK("http://ictvonline.org/taxonomy/p/taxonomy-history?taxnode_id=201856313","ICTVonline=201856313")</f>
        <v>ICTVonline=201856313</v>
      </c>
      <c r="AA241" s="1">
        <v>201850000</v>
      </c>
      <c r="AB241" s="1">
        <v>34</v>
      </c>
    </row>
    <row r="242" spans="1:28" x14ac:dyDescent="0.15">
      <c r="A242" s="1">
        <v>621</v>
      </c>
      <c r="B242" s="1" t="s">
        <v>7159</v>
      </c>
      <c r="F242" s="1" t="s">
        <v>5617</v>
      </c>
      <c r="G242" s="1" t="s">
        <v>5618</v>
      </c>
      <c r="H242" s="1" t="s">
        <v>5633</v>
      </c>
      <c r="J242" s="1" t="s">
        <v>1005</v>
      </c>
      <c r="L242" s="1" t="s">
        <v>1436</v>
      </c>
      <c r="N242" s="1" t="s">
        <v>4545</v>
      </c>
      <c r="P242" s="1" t="s">
        <v>4558</v>
      </c>
      <c r="Q242" s="3">
        <v>0</v>
      </c>
      <c r="S242" s="23" t="s">
        <v>5949</v>
      </c>
      <c r="T242" s="23" t="s">
        <v>4931</v>
      </c>
      <c r="U242" s="3">
        <v>34</v>
      </c>
      <c r="W242" s="45" t="str">
        <f>HYPERLINK("http://ictvonline.org/taxonomy/p/taxonomy-history?taxnode_id=201851719","ICTVonline=201851719")</f>
        <v>ICTVonline=201851719</v>
      </c>
      <c r="AA242" s="1">
        <v>201850000</v>
      </c>
      <c r="AB242" s="1">
        <v>34</v>
      </c>
    </row>
    <row r="243" spans="1:28" x14ac:dyDescent="0.15">
      <c r="A243" s="1">
        <v>623</v>
      </c>
      <c r="B243" s="1" t="s">
        <v>7159</v>
      </c>
      <c r="F243" s="1" t="s">
        <v>5617</v>
      </c>
      <c r="G243" s="1" t="s">
        <v>5618</v>
      </c>
      <c r="H243" s="1" t="s">
        <v>5633</v>
      </c>
      <c r="J243" s="1" t="s">
        <v>1005</v>
      </c>
      <c r="L243" s="1" t="s">
        <v>1436</v>
      </c>
      <c r="N243" s="1" t="s">
        <v>4545</v>
      </c>
      <c r="P243" s="1" t="s">
        <v>4559</v>
      </c>
      <c r="Q243" s="3">
        <v>0</v>
      </c>
      <c r="S243" s="23" t="s">
        <v>5949</v>
      </c>
      <c r="T243" s="23" t="s">
        <v>4931</v>
      </c>
      <c r="U243" s="3">
        <v>34</v>
      </c>
      <c r="W243" s="45" t="str">
        <f>HYPERLINK("http://ictvonline.org/taxonomy/p/taxonomy-history?taxnode_id=201851720","ICTVonline=201851720")</f>
        <v>ICTVonline=201851720</v>
      </c>
      <c r="AA243" s="1">
        <v>201850000</v>
      </c>
      <c r="AB243" s="1">
        <v>34</v>
      </c>
    </row>
    <row r="244" spans="1:28" x14ac:dyDescent="0.15">
      <c r="A244" s="1">
        <v>627</v>
      </c>
      <c r="B244" s="1" t="s">
        <v>7159</v>
      </c>
      <c r="F244" s="1" t="s">
        <v>5617</v>
      </c>
      <c r="G244" s="1" t="s">
        <v>5618</v>
      </c>
      <c r="H244" s="1" t="s">
        <v>5633</v>
      </c>
      <c r="J244" s="1" t="s">
        <v>1005</v>
      </c>
      <c r="L244" s="1" t="s">
        <v>1436</v>
      </c>
      <c r="N244" s="1" t="s">
        <v>1380</v>
      </c>
      <c r="P244" s="1" t="s">
        <v>3573</v>
      </c>
      <c r="Q244" s="3">
        <v>0</v>
      </c>
      <c r="S244" s="23" t="s">
        <v>5949</v>
      </c>
      <c r="T244" s="23" t="s">
        <v>4931</v>
      </c>
      <c r="U244" s="3">
        <v>34</v>
      </c>
      <c r="W244" s="45" t="str">
        <f>HYPERLINK("http://ictvonline.org/taxonomy/p/taxonomy-history?taxnode_id=201851722","ICTVonline=201851722")</f>
        <v>ICTVonline=201851722</v>
      </c>
      <c r="AA244" s="1">
        <v>201850000</v>
      </c>
      <c r="AB244" s="1">
        <v>34</v>
      </c>
    </row>
    <row r="245" spans="1:28" x14ac:dyDescent="0.15">
      <c r="A245" s="1">
        <v>629</v>
      </c>
      <c r="B245" s="1" t="s">
        <v>7159</v>
      </c>
      <c r="F245" s="1" t="s">
        <v>5617</v>
      </c>
      <c r="G245" s="1" t="s">
        <v>5618</v>
      </c>
      <c r="H245" s="1" t="s">
        <v>5633</v>
      </c>
      <c r="J245" s="1" t="s">
        <v>1005</v>
      </c>
      <c r="L245" s="1" t="s">
        <v>1436</v>
      </c>
      <c r="N245" s="1" t="s">
        <v>1380</v>
      </c>
      <c r="P245" s="1" t="s">
        <v>1381</v>
      </c>
      <c r="Q245" s="3">
        <v>0</v>
      </c>
      <c r="S245" s="23" t="s">
        <v>5949</v>
      </c>
      <c r="T245" s="23" t="s">
        <v>4931</v>
      </c>
      <c r="U245" s="3">
        <v>34</v>
      </c>
      <c r="W245" s="45" t="str">
        <f>HYPERLINK("http://ictvonline.org/taxonomy/p/taxonomy-history?taxnode_id=201851723","ICTVonline=201851723")</f>
        <v>ICTVonline=201851723</v>
      </c>
      <c r="AA245" s="1">
        <v>201850000</v>
      </c>
      <c r="AB245" s="1">
        <v>34</v>
      </c>
    </row>
    <row r="246" spans="1:28" x14ac:dyDescent="0.15">
      <c r="A246" s="1">
        <v>631</v>
      </c>
      <c r="B246" s="1" t="s">
        <v>7159</v>
      </c>
      <c r="F246" s="1" t="s">
        <v>5617</v>
      </c>
      <c r="G246" s="1" t="s">
        <v>5618</v>
      </c>
      <c r="H246" s="1" t="s">
        <v>5633</v>
      </c>
      <c r="J246" s="1" t="s">
        <v>1005</v>
      </c>
      <c r="L246" s="1" t="s">
        <v>1436</v>
      </c>
      <c r="N246" s="1" t="s">
        <v>1380</v>
      </c>
      <c r="P246" s="1" t="s">
        <v>2297</v>
      </c>
      <c r="Q246" s="3">
        <v>0</v>
      </c>
      <c r="S246" s="23" t="s">
        <v>5949</v>
      </c>
      <c r="T246" s="23" t="s">
        <v>4931</v>
      </c>
      <c r="U246" s="3">
        <v>34</v>
      </c>
      <c r="W246" s="45" t="str">
        <f>HYPERLINK("http://ictvonline.org/taxonomy/p/taxonomy-history?taxnode_id=201851724","ICTVonline=201851724")</f>
        <v>ICTVonline=201851724</v>
      </c>
      <c r="AA246" s="1">
        <v>201850000</v>
      </c>
      <c r="AB246" s="1">
        <v>34</v>
      </c>
    </row>
    <row r="247" spans="1:28" x14ac:dyDescent="0.15">
      <c r="A247" s="1">
        <v>633</v>
      </c>
      <c r="B247" s="1" t="s">
        <v>7159</v>
      </c>
      <c r="F247" s="1" t="s">
        <v>5617</v>
      </c>
      <c r="G247" s="1" t="s">
        <v>5618</v>
      </c>
      <c r="H247" s="1" t="s">
        <v>5633</v>
      </c>
      <c r="J247" s="1" t="s">
        <v>1005</v>
      </c>
      <c r="L247" s="1" t="s">
        <v>1436</v>
      </c>
      <c r="N247" s="1" t="s">
        <v>1380</v>
      </c>
      <c r="P247" s="1" t="s">
        <v>3574</v>
      </c>
      <c r="Q247" s="3">
        <v>0</v>
      </c>
      <c r="S247" s="23" t="s">
        <v>5949</v>
      </c>
      <c r="T247" s="23" t="s">
        <v>4931</v>
      </c>
      <c r="U247" s="3">
        <v>34</v>
      </c>
      <c r="W247" s="45" t="str">
        <f>HYPERLINK("http://ictvonline.org/taxonomy/p/taxonomy-history?taxnode_id=201851725","ICTVonline=201851725")</f>
        <v>ICTVonline=201851725</v>
      </c>
      <c r="AA247" s="1">
        <v>201850000</v>
      </c>
      <c r="AB247" s="1">
        <v>34</v>
      </c>
    </row>
    <row r="248" spans="1:28" x14ac:dyDescent="0.15">
      <c r="A248" s="1">
        <v>635</v>
      </c>
      <c r="B248" s="1" t="s">
        <v>7159</v>
      </c>
      <c r="F248" s="1" t="s">
        <v>5617</v>
      </c>
      <c r="G248" s="1" t="s">
        <v>5618</v>
      </c>
      <c r="H248" s="1" t="s">
        <v>5633</v>
      </c>
      <c r="J248" s="1" t="s">
        <v>1005</v>
      </c>
      <c r="L248" s="1" t="s">
        <v>1436</v>
      </c>
      <c r="N248" s="1" t="s">
        <v>1380</v>
      </c>
      <c r="P248" s="1" t="s">
        <v>3575</v>
      </c>
      <c r="Q248" s="3">
        <v>0</v>
      </c>
      <c r="S248" s="23" t="s">
        <v>5949</v>
      </c>
      <c r="T248" s="23" t="s">
        <v>4931</v>
      </c>
      <c r="U248" s="3">
        <v>34</v>
      </c>
      <c r="W248" s="45" t="str">
        <f>HYPERLINK("http://ictvonline.org/taxonomy/p/taxonomy-history?taxnode_id=201851726","ICTVonline=201851726")</f>
        <v>ICTVonline=201851726</v>
      </c>
      <c r="AA248" s="1">
        <v>201850000</v>
      </c>
      <c r="AB248" s="1">
        <v>34</v>
      </c>
    </row>
    <row r="249" spans="1:28" x14ac:dyDescent="0.15">
      <c r="A249" s="1">
        <v>637</v>
      </c>
      <c r="B249" s="1" t="s">
        <v>7159</v>
      </c>
      <c r="F249" s="1" t="s">
        <v>5617</v>
      </c>
      <c r="G249" s="1" t="s">
        <v>5618</v>
      </c>
      <c r="H249" s="1" t="s">
        <v>5633</v>
      </c>
      <c r="J249" s="1" t="s">
        <v>1005</v>
      </c>
      <c r="L249" s="1" t="s">
        <v>1436</v>
      </c>
      <c r="N249" s="1" t="s">
        <v>1380</v>
      </c>
      <c r="P249" s="1" t="s">
        <v>3576</v>
      </c>
      <c r="Q249" s="3">
        <v>0</v>
      </c>
      <c r="S249" s="23" t="s">
        <v>5949</v>
      </c>
      <c r="T249" s="23" t="s">
        <v>4931</v>
      </c>
      <c r="U249" s="3">
        <v>34</v>
      </c>
      <c r="W249" s="45" t="str">
        <f>HYPERLINK("http://ictvonline.org/taxonomy/p/taxonomy-history?taxnode_id=201851727","ICTVonline=201851727")</f>
        <v>ICTVonline=201851727</v>
      </c>
      <c r="AA249" s="1">
        <v>201850000</v>
      </c>
      <c r="AB249" s="1">
        <v>34</v>
      </c>
    </row>
    <row r="250" spans="1:28" x14ac:dyDescent="0.15">
      <c r="A250" s="1">
        <v>639</v>
      </c>
      <c r="B250" s="1" t="s">
        <v>7159</v>
      </c>
      <c r="F250" s="1" t="s">
        <v>5617</v>
      </c>
      <c r="G250" s="1" t="s">
        <v>5618</v>
      </c>
      <c r="H250" s="1" t="s">
        <v>5633</v>
      </c>
      <c r="J250" s="1" t="s">
        <v>1005</v>
      </c>
      <c r="L250" s="1" t="s">
        <v>1436</v>
      </c>
      <c r="N250" s="1" t="s">
        <v>1380</v>
      </c>
      <c r="P250" s="1" t="s">
        <v>5112</v>
      </c>
      <c r="Q250" s="3">
        <v>0</v>
      </c>
      <c r="S250" s="23" t="s">
        <v>5949</v>
      </c>
      <c r="T250" s="23" t="s">
        <v>4931</v>
      </c>
      <c r="U250" s="3">
        <v>34</v>
      </c>
      <c r="W250" s="45" t="str">
        <f>HYPERLINK("http://ictvonline.org/taxonomy/p/taxonomy-history?taxnode_id=201855581","ICTVonline=201855581")</f>
        <v>ICTVonline=201855581</v>
      </c>
      <c r="AA250" s="1">
        <v>201850000</v>
      </c>
      <c r="AB250" s="1">
        <v>34</v>
      </c>
    </row>
    <row r="251" spans="1:28" x14ac:dyDescent="0.15">
      <c r="A251" s="1">
        <v>641</v>
      </c>
      <c r="B251" s="1" t="s">
        <v>7159</v>
      </c>
      <c r="F251" s="1" t="s">
        <v>5617</v>
      </c>
      <c r="G251" s="1" t="s">
        <v>5618</v>
      </c>
      <c r="H251" s="1" t="s">
        <v>5633</v>
      </c>
      <c r="J251" s="1" t="s">
        <v>1005</v>
      </c>
      <c r="L251" s="1" t="s">
        <v>1436</v>
      </c>
      <c r="N251" s="1" t="s">
        <v>1380</v>
      </c>
      <c r="P251" s="1" t="s">
        <v>2298</v>
      </c>
      <c r="Q251" s="3">
        <v>0</v>
      </c>
      <c r="S251" s="23" t="s">
        <v>5949</v>
      </c>
      <c r="T251" s="23" t="s">
        <v>4931</v>
      </c>
      <c r="U251" s="3">
        <v>34</v>
      </c>
      <c r="W251" s="45" t="str">
        <f>HYPERLINK("http://ictvonline.org/taxonomy/p/taxonomy-history?taxnode_id=201851728","ICTVonline=201851728")</f>
        <v>ICTVonline=201851728</v>
      </c>
      <c r="AA251" s="1">
        <v>201850000</v>
      </c>
      <c r="AB251" s="1">
        <v>34</v>
      </c>
    </row>
    <row r="252" spans="1:28" x14ac:dyDescent="0.15">
      <c r="A252" s="1">
        <v>643</v>
      </c>
      <c r="B252" s="1" t="s">
        <v>7159</v>
      </c>
      <c r="F252" s="1" t="s">
        <v>5617</v>
      </c>
      <c r="G252" s="1" t="s">
        <v>5618</v>
      </c>
      <c r="H252" s="1" t="s">
        <v>5633</v>
      </c>
      <c r="J252" s="1" t="s">
        <v>1005</v>
      </c>
      <c r="L252" s="1" t="s">
        <v>1436</v>
      </c>
      <c r="N252" s="1" t="s">
        <v>1380</v>
      </c>
      <c r="P252" s="1" t="s">
        <v>3577</v>
      </c>
      <c r="Q252" s="3">
        <v>0</v>
      </c>
      <c r="S252" s="23" t="s">
        <v>5949</v>
      </c>
      <c r="T252" s="23" t="s">
        <v>4931</v>
      </c>
      <c r="U252" s="3">
        <v>34</v>
      </c>
      <c r="W252" s="45" t="str">
        <f>HYPERLINK("http://ictvonline.org/taxonomy/p/taxonomy-history?taxnode_id=201851729","ICTVonline=201851729")</f>
        <v>ICTVonline=201851729</v>
      </c>
      <c r="AA252" s="1">
        <v>201850000</v>
      </c>
      <c r="AB252" s="1">
        <v>34</v>
      </c>
    </row>
    <row r="253" spans="1:28" x14ac:dyDescent="0.15">
      <c r="A253" s="1">
        <v>645</v>
      </c>
      <c r="B253" s="1" t="s">
        <v>7159</v>
      </c>
      <c r="F253" s="1" t="s">
        <v>5617</v>
      </c>
      <c r="G253" s="1" t="s">
        <v>5618</v>
      </c>
      <c r="H253" s="1" t="s">
        <v>5633</v>
      </c>
      <c r="J253" s="1" t="s">
        <v>1005</v>
      </c>
      <c r="L253" s="1" t="s">
        <v>1436</v>
      </c>
      <c r="N253" s="1" t="s">
        <v>1380</v>
      </c>
      <c r="P253" s="1" t="s">
        <v>3578</v>
      </c>
      <c r="Q253" s="3">
        <v>0</v>
      </c>
      <c r="S253" s="23" t="s">
        <v>5949</v>
      </c>
      <c r="T253" s="23" t="s">
        <v>4931</v>
      </c>
      <c r="U253" s="3">
        <v>34</v>
      </c>
      <c r="W253" s="45" t="str">
        <f>HYPERLINK("http://ictvonline.org/taxonomy/p/taxonomy-history?taxnode_id=201851730","ICTVonline=201851730")</f>
        <v>ICTVonline=201851730</v>
      </c>
      <c r="AA253" s="1">
        <v>201850000</v>
      </c>
      <c r="AB253" s="1">
        <v>34</v>
      </c>
    </row>
    <row r="254" spans="1:28" x14ac:dyDescent="0.15">
      <c r="A254" s="1">
        <v>647</v>
      </c>
      <c r="B254" s="1" t="s">
        <v>7159</v>
      </c>
      <c r="F254" s="1" t="s">
        <v>5617</v>
      </c>
      <c r="G254" s="1" t="s">
        <v>5618</v>
      </c>
      <c r="H254" s="1" t="s">
        <v>5633</v>
      </c>
      <c r="J254" s="1" t="s">
        <v>1005</v>
      </c>
      <c r="L254" s="1" t="s">
        <v>1436</v>
      </c>
      <c r="N254" s="1" t="s">
        <v>1380</v>
      </c>
      <c r="P254" s="1" t="s">
        <v>3579</v>
      </c>
      <c r="Q254" s="3">
        <v>0</v>
      </c>
      <c r="S254" s="23" t="s">
        <v>5949</v>
      </c>
      <c r="T254" s="23" t="s">
        <v>4931</v>
      </c>
      <c r="U254" s="3">
        <v>34</v>
      </c>
      <c r="W254" s="45" t="str">
        <f>HYPERLINK("http://ictvonline.org/taxonomy/p/taxonomy-history?taxnode_id=201851731","ICTVonline=201851731")</f>
        <v>ICTVonline=201851731</v>
      </c>
      <c r="AA254" s="1">
        <v>201850000</v>
      </c>
      <c r="AB254" s="1">
        <v>34</v>
      </c>
    </row>
    <row r="255" spans="1:28" x14ac:dyDescent="0.15">
      <c r="A255" s="1">
        <v>649</v>
      </c>
      <c r="B255" s="1" t="s">
        <v>7159</v>
      </c>
      <c r="F255" s="1" t="s">
        <v>5617</v>
      </c>
      <c r="G255" s="1" t="s">
        <v>5618</v>
      </c>
      <c r="H255" s="1" t="s">
        <v>5633</v>
      </c>
      <c r="J255" s="1" t="s">
        <v>1005</v>
      </c>
      <c r="L255" s="1" t="s">
        <v>1436</v>
      </c>
      <c r="N255" s="1" t="s">
        <v>1380</v>
      </c>
      <c r="P255" s="1" t="s">
        <v>5113</v>
      </c>
      <c r="Q255" s="3">
        <v>0</v>
      </c>
      <c r="S255" s="23" t="s">
        <v>5949</v>
      </c>
      <c r="T255" s="23" t="s">
        <v>4931</v>
      </c>
      <c r="U255" s="3">
        <v>34</v>
      </c>
      <c r="W255" s="45" t="str">
        <f>HYPERLINK("http://ictvonline.org/taxonomy/p/taxonomy-history?taxnode_id=201855582","ICTVonline=201855582")</f>
        <v>ICTVonline=201855582</v>
      </c>
      <c r="AA255" s="1">
        <v>201850000</v>
      </c>
      <c r="AB255" s="1">
        <v>34</v>
      </c>
    </row>
    <row r="256" spans="1:28" x14ac:dyDescent="0.15">
      <c r="A256" s="1">
        <v>651</v>
      </c>
      <c r="B256" s="1" t="s">
        <v>7159</v>
      </c>
      <c r="F256" s="1" t="s">
        <v>5617</v>
      </c>
      <c r="G256" s="1" t="s">
        <v>5618</v>
      </c>
      <c r="H256" s="1" t="s">
        <v>5633</v>
      </c>
      <c r="J256" s="1" t="s">
        <v>1005</v>
      </c>
      <c r="L256" s="1" t="s">
        <v>1436</v>
      </c>
      <c r="N256" s="1" t="s">
        <v>1380</v>
      </c>
      <c r="P256" s="1" t="s">
        <v>3580</v>
      </c>
      <c r="Q256" s="3">
        <v>0</v>
      </c>
      <c r="S256" s="23" t="s">
        <v>5949</v>
      </c>
      <c r="T256" s="23" t="s">
        <v>4931</v>
      </c>
      <c r="U256" s="3">
        <v>34</v>
      </c>
      <c r="W256" s="45" t="str">
        <f>HYPERLINK("http://ictvonline.org/taxonomy/p/taxonomy-history?taxnode_id=201851732","ICTVonline=201851732")</f>
        <v>ICTVonline=201851732</v>
      </c>
      <c r="AA256" s="1">
        <v>201850000</v>
      </c>
      <c r="AB256" s="1">
        <v>34</v>
      </c>
    </row>
    <row r="257" spans="1:28" x14ac:dyDescent="0.15">
      <c r="A257" s="1">
        <v>653</v>
      </c>
      <c r="B257" s="1" t="s">
        <v>7159</v>
      </c>
      <c r="F257" s="1" t="s">
        <v>5617</v>
      </c>
      <c r="G257" s="1" t="s">
        <v>5618</v>
      </c>
      <c r="H257" s="1" t="s">
        <v>5633</v>
      </c>
      <c r="J257" s="1" t="s">
        <v>1005</v>
      </c>
      <c r="L257" s="1" t="s">
        <v>1436</v>
      </c>
      <c r="N257" s="1" t="s">
        <v>1380</v>
      </c>
      <c r="P257" s="1" t="s">
        <v>3581</v>
      </c>
      <c r="Q257" s="3">
        <v>1</v>
      </c>
      <c r="S257" s="23" t="s">
        <v>5949</v>
      </c>
      <c r="T257" s="23" t="s">
        <v>4931</v>
      </c>
      <c r="U257" s="3">
        <v>34</v>
      </c>
      <c r="W257" s="45" t="str">
        <f>HYPERLINK("http://ictvonline.org/taxonomy/p/taxonomy-history?taxnode_id=201851733","ICTVonline=201851733")</f>
        <v>ICTVonline=201851733</v>
      </c>
      <c r="AA257" s="1">
        <v>201850000</v>
      </c>
      <c r="AB257" s="1">
        <v>34</v>
      </c>
    </row>
    <row r="258" spans="1:28" x14ac:dyDescent="0.15">
      <c r="A258" s="1">
        <v>655</v>
      </c>
      <c r="B258" s="1" t="s">
        <v>7159</v>
      </c>
      <c r="F258" s="1" t="s">
        <v>5617</v>
      </c>
      <c r="G258" s="1" t="s">
        <v>5618</v>
      </c>
      <c r="H258" s="1" t="s">
        <v>5633</v>
      </c>
      <c r="J258" s="1" t="s">
        <v>1005</v>
      </c>
      <c r="L258" s="1" t="s">
        <v>1436</v>
      </c>
      <c r="N258" s="1" t="s">
        <v>1380</v>
      </c>
      <c r="P258" s="1" t="s">
        <v>3582</v>
      </c>
      <c r="Q258" s="3">
        <v>0</v>
      </c>
      <c r="S258" s="23" t="s">
        <v>5949</v>
      </c>
      <c r="T258" s="23" t="s">
        <v>4931</v>
      </c>
      <c r="U258" s="3">
        <v>34</v>
      </c>
      <c r="W258" s="45" t="str">
        <f>HYPERLINK("http://ictvonline.org/taxonomy/p/taxonomy-history?taxnode_id=201851734","ICTVonline=201851734")</f>
        <v>ICTVonline=201851734</v>
      </c>
      <c r="AA258" s="1">
        <v>201850000</v>
      </c>
      <c r="AB258" s="1">
        <v>34</v>
      </c>
    </row>
    <row r="259" spans="1:28" x14ac:dyDescent="0.15">
      <c r="A259" s="1">
        <v>657</v>
      </c>
      <c r="B259" s="1" t="s">
        <v>7159</v>
      </c>
      <c r="F259" s="1" t="s">
        <v>5617</v>
      </c>
      <c r="G259" s="1" t="s">
        <v>5618</v>
      </c>
      <c r="H259" s="1" t="s">
        <v>5633</v>
      </c>
      <c r="J259" s="1" t="s">
        <v>1005</v>
      </c>
      <c r="L259" s="1" t="s">
        <v>1436</v>
      </c>
      <c r="N259" s="1" t="s">
        <v>1380</v>
      </c>
      <c r="P259" s="1" t="s">
        <v>3583</v>
      </c>
      <c r="Q259" s="3">
        <v>0</v>
      </c>
      <c r="S259" s="23" t="s">
        <v>5949</v>
      </c>
      <c r="T259" s="23" t="s">
        <v>4931</v>
      </c>
      <c r="U259" s="3">
        <v>34</v>
      </c>
      <c r="W259" s="45" t="str">
        <f>HYPERLINK("http://ictvonline.org/taxonomy/p/taxonomy-history?taxnode_id=201851735","ICTVonline=201851735")</f>
        <v>ICTVonline=201851735</v>
      </c>
      <c r="AA259" s="1">
        <v>201850000</v>
      </c>
      <c r="AB259" s="1">
        <v>34</v>
      </c>
    </row>
    <row r="260" spans="1:28" x14ac:dyDescent="0.15">
      <c r="A260" s="1">
        <v>661</v>
      </c>
      <c r="B260" s="1" t="s">
        <v>7159</v>
      </c>
      <c r="F260" s="1" t="s">
        <v>5617</v>
      </c>
      <c r="G260" s="1" t="s">
        <v>5618</v>
      </c>
      <c r="H260" s="1" t="s">
        <v>5633</v>
      </c>
      <c r="J260" s="1" t="s">
        <v>1005</v>
      </c>
      <c r="L260" s="1" t="s">
        <v>1436</v>
      </c>
      <c r="N260" s="1" t="s">
        <v>1123</v>
      </c>
      <c r="P260" s="1" t="s">
        <v>3584</v>
      </c>
      <c r="Q260" s="3">
        <v>0</v>
      </c>
      <c r="S260" s="23" t="s">
        <v>5949</v>
      </c>
      <c r="T260" s="23" t="s">
        <v>4931</v>
      </c>
      <c r="U260" s="3">
        <v>34</v>
      </c>
      <c r="W260" s="45" t="str">
        <f>HYPERLINK("http://ictvonline.org/taxonomy/p/taxonomy-history?taxnode_id=201851737","ICTVonline=201851737")</f>
        <v>ICTVonline=201851737</v>
      </c>
      <c r="AA260" s="1">
        <v>201850000</v>
      </c>
      <c r="AB260" s="1">
        <v>34</v>
      </c>
    </row>
    <row r="261" spans="1:28" x14ac:dyDescent="0.15">
      <c r="A261" s="1">
        <v>663</v>
      </c>
      <c r="B261" s="1" t="s">
        <v>7159</v>
      </c>
      <c r="F261" s="1" t="s">
        <v>5617</v>
      </c>
      <c r="G261" s="1" t="s">
        <v>5618</v>
      </c>
      <c r="H261" s="1" t="s">
        <v>5633</v>
      </c>
      <c r="J261" s="1" t="s">
        <v>1005</v>
      </c>
      <c r="L261" s="1" t="s">
        <v>1436</v>
      </c>
      <c r="N261" s="1" t="s">
        <v>1123</v>
      </c>
      <c r="P261" s="1" t="s">
        <v>4954</v>
      </c>
      <c r="Q261" s="3">
        <v>0</v>
      </c>
      <c r="S261" s="23" t="s">
        <v>5949</v>
      </c>
      <c r="T261" s="23" t="s">
        <v>4931</v>
      </c>
      <c r="U261" s="3">
        <v>34</v>
      </c>
      <c r="W261" s="45" t="str">
        <f>HYPERLINK("http://ictvonline.org/taxonomy/p/taxonomy-history?taxnode_id=201851738","ICTVonline=201851738")</f>
        <v>ICTVonline=201851738</v>
      </c>
      <c r="AA261" s="1">
        <v>201850000</v>
      </c>
      <c r="AB261" s="1">
        <v>34</v>
      </c>
    </row>
    <row r="262" spans="1:28" x14ac:dyDescent="0.15">
      <c r="A262" s="1">
        <v>665</v>
      </c>
      <c r="B262" s="1" t="s">
        <v>7159</v>
      </c>
      <c r="F262" s="1" t="s">
        <v>5617</v>
      </c>
      <c r="G262" s="1" t="s">
        <v>5618</v>
      </c>
      <c r="H262" s="1" t="s">
        <v>5633</v>
      </c>
      <c r="J262" s="1" t="s">
        <v>1005</v>
      </c>
      <c r="L262" s="1" t="s">
        <v>1436</v>
      </c>
      <c r="N262" s="1" t="s">
        <v>1123</v>
      </c>
      <c r="P262" s="1" t="s">
        <v>4955</v>
      </c>
      <c r="Q262" s="3">
        <v>1</v>
      </c>
      <c r="S262" s="23" t="s">
        <v>5949</v>
      </c>
      <c r="T262" s="23" t="s">
        <v>4931</v>
      </c>
      <c r="U262" s="3">
        <v>34</v>
      </c>
      <c r="W262" s="45" t="str">
        <f>HYPERLINK("http://ictvonline.org/taxonomy/p/taxonomy-history?taxnode_id=201851739","ICTVonline=201851739")</f>
        <v>ICTVonline=201851739</v>
      </c>
      <c r="AA262" s="1">
        <v>201850000</v>
      </c>
      <c r="AB262" s="1">
        <v>34</v>
      </c>
    </row>
    <row r="263" spans="1:28" x14ac:dyDescent="0.15">
      <c r="A263" s="1">
        <v>667</v>
      </c>
      <c r="B263" s="1" t="s">
        <v>7159</v>
      </c>
      <c r="F263" s="1" t="s">
        <v>5617</v>
      </c>
      <c r="G263" s="1" t="s">
        <v>5618</v>
      </c>
      <c r="H263" s="1" t="s">
        <v>5633</v>
      </c>
      <c r="J263" s="1" t="s">
        <v>1005</v>
      </c>
      <c r="L263" s="1" t="s">
        <v>1436</v>
      </c>
      <c r="N263" s="1" t="s">
        <v>1123</v>
      </c>
      <c r="P263" s="1" t="s">
        <v>3585</v>
      </c>
      <c r="Q263" s="3">
        <v>0</v>
      </c>
      <c r="S263" s="23" t="s">
        <v>5949</v>
      </c>
      <c r="T263" s="23" t="s">
        <v>4931</v>
      </c>
      <c r="U263" s="3">
        <v>34</v>
      </c>
      <c r="W263" s="45" t="str">
        <f>HYPERLINK("http://ictvonline.org/taxonomy/p/taxonomy-history?taxnode_id=201851740","ICTVonline=201851740")</f>
        <v>ICTVonline=201851740</v>
      </c>
      <c r="AA263" s="1">
        <v>201850000</v>
      </c>
      <c r="AB263" s="1">
        <v>34</v>
      </c>
    </row>
    <row r="264" spans="1:28" x14ac:dyDescent="0.15">
      <c r="A264" s="1">
        <v>671</v>
      </c>
      <c r="B264" s="1" t="s">
        <v>7159</v>
      </c>
      <c r="F264" s="1" t="s">
        <v>5617</v>
      </c>
      <c r="G264" s="1" t="s">
        <v>5618</v>
      </c>
      <c r="H264" s="1" t="s">
        <v>5633</v>
      </c>
      <c r="J264" s="1" t="s">
        <v>1005</v>
      </c>
      <c r="L264" s="1" t="s">
        <v>1436</v>
      </c>
      <c r="N264" s="1" t="s">
        <v>1435</v>
      </c>
      <c r="P264" s="1" t="s">
        <v>3586</v>
      </c>
      <c r="Q264" s="3">
        <v>0</v>
      </c>
      <c r="S264" s="23" t="s">
        <v>5949</v>
      </c>
      <c r="T264" s="23" t="s">
        <v>4931</v>
      </c>
      <c r="U264" s="3">
        <v>34</v>
      </c>
      <c r="W264" s="45" t="str">
        <f>HYPERLINK("http://ictvonline.org/taxonomy/p/taxonomy-history?taxnode_id=201851742","ICTVonline=201851742")</f>
        <v>ICTVonline=201851742</v>
      </c>
      <c r="AA264" s="1">
        <v>201850000</v>
      </c>
      <c r="AB264" s="1">
        <v>34</v>
      </c>
    </row>
    <row r="265" spans="1:28" x14ac:dyDescent="0.15">
      <c r="A265" s="1">
        <v>673</v>
      </c>
      <c r="B265" s="1" t="s">
        <v>7159</v>
      </c>
      <c r="F265" s="1" t="s">
        <v>5617</v>
      </c>
      <c r="G265" s="1" t="s">
        <v>5618</v>
      </c>
      <c r="H265" s="1" t="s">
        <v>5633</v>
      </c>
      <c r="J265" s="1" t="s">
        <v>1005</v>
      </c>
      <c r="L265" s="1" t="s">
        <v>1436</v>
      </c>
      <c r="N265" s="1" t="s">
        <v>1435</v>
      </c>
      <c r="P265" s="1" t="s">
        <v>3587</v>
      </c>
      <c r="Q265" s="3">
        <v>0</v>
      </c>
      <c r="S265" s="23" t="s">
        <v>5949</v>
      </c>
      <c r="T265" s="23" t="s">
        <v>4931</v>
      </c>
      <c r="U265" s="3">
        <v>34</v>
      </c>
      <c r="W265" s="45" t="str">
        <f>HYPERLINK("http://ictvonline.org/taxonomy/p/taxonomy-history?taxnode_id=201851743","ICTVonline=201851743")</f>
        <v>ICTVonline=201851743</v>
      </c>
      <c r="AA265" s="1">
        <v>201850000</v>
      </c>
      <c r="AB265" s="1">
        <v>34</v>
      </c>
    </row>
    <row r="266" spans="1:28" x14ac:dyDescent="0.15">
      <c r="A266" s="1">
        <v>675</v>
      </c>
      <c r="B266" s="1" t="s">
        <v>7159</v>
      </c>
      <c r="F266" s="1" t="s">
        <v>5617</v>
      </c>
      <c r="G266" s="1" t="s">
        <v>5618</v>
      </c>
      <c r="H266" s="1" t="s">
        <v>5633</v>
      </c>
      <c r="J266" s="1" t="s">
        <v>1005</v>
      </c>
      <c r="L266" s="1" t="s">
        <v>1436</v>
      </c>
      <c r="N266" s="1" t="s">
        <v>1435</v>
      </c>
      <c r="P266" s="1" t="s">
        <v>3588</v>
      </c>
      <c r="Q266" s="3">
        <v>0</v>
      </c>
      <c r="S266" s="23" t="s">
        <v>5949</v>
      </c>
      <c r="T266" s="23" t="s">
        <v>4931</v>
      </c>
      <c r="U266" s="3">
        <v>34</v>
      </c>
      <c r="W266" s="45" t="str">
        <f>HYPERLINK("http://ictvonline.org/taxonomy/p/taxonomy-history?taxnode_id=201851744","ICTVonline=201851744")</f>
        <v>ICTVonline=201851744</v>
      </c>
      <c r="AA266" s="1">
        <v>201850000</v>
      </c>
      <c r="AB266" s="1">
        <v>34</v>
      </c>
    </row>
    <row r="267" spans="1:28" x14ac:dyDescent="0.15">
      <c r="A267" s="1">
        <v>677</v>
      </c>
      <c r="B267" s="1" t="s">
        <v>7159</v>
      </c>
      <c r="F267" s="1" t="s">
        <v>5617</v>
      </c>
      <c r="G267" s="1" t="s">
        <v>5618</v>
      </c>
      <c r="H267" s="1" t="s">
        <v>5633</v>
      </c>
      <c r="J267" s="1" t="s">
        <v>1005</v>
      </c>
      <c r="L267" s="1" t="s">
        <v>1436</v>
      </c>
      <c r="N267" s="1" t="s">
        <v>1435</v>
      </c>
      <c r="P267" s="1" t="s">
        <v>3589</v>
      </c>
      <c r="Q267" s="3">
        <v>0</v>
      </c>
      <c r="S267" s="23" t="s">
        <v>5949</v>
      </c>
      <c r="T267" s="23" t="s">
        <v>4931</v>
      </c>
      <c r="U267" s="3">
        <v>34</v>
      </c>
      <c r="W267" s="45" t="str">
        <f>HYPERLINK("http://ictvonline.org/taxonomy/p/taxonomy-history?taxnode_id=201851745","ICTVonline=201851745")</f>
        <v>ICTVonline=201851745</v>
      </c>
      <c r="AA267" s="1">
        <v>201850000</v>
      </c>
      <c r="AB267" s="1">
        <v>34</v>
      </c>
    </row>
    <row r="268" spans="1:28" x14ac:dyDescent="0.15">
      <c r="A268" s="1">
        <v>679</v>
      </c>
      <c r="B268" s="1" t="s">
        <v>7159</v>
      </c>
      <c r="F268" s="1" t="s">
        <v>5617</v>
      </c>
      <c r="G268" s="1" t="s">
        <v>5618</v>
      </c>
      <c r="H268" s="1" t="s">
        <v>5633</v>
      </c>
      <c r="J268" s="1" t="s">
        <v>1005</v>
      </c>
      <c r="L268" s="1" t="s">
        <v>1436</v>
      </c>
      <c r="N268" s="1" t="s">
        <v>1435</v>
      </c>
      <c r="P268" s="1" t="s">
        <v>3590</v>
      </c>
      <c r="Q268" s="3">
        <v>0</v>
      </c>
      <c r="S268" s="23" t="s">
        <v>5949</v>
      </c>
      <c r="T268" s="23" t="s">
        <v>4931</v>
      </c>
      <c r="U268" s="3">
        <v>34</v>
      </c>
      <c r="W268" s="45" t="str">
        <f>HYPERLINK("http://ictvonline.org/taxonomy/p/taxonomy-history?taxnode_id=201851746","ICTVonline=201851746")</f>
        <v>ICTVonline=201851746</v>
      </c>
      <c r="AA268" s="1">
        <v>201850000</v>
      </c>
      <c r="AB268" s="1">
        <v>34</v>
      </c>
    </row>
    <row r="269" spans="1:28" x14ac:dyDescent="0.15">
      <c r="A269" s="1">
        <v>681</v>
      </c>
      <c r="B269" s="1" t="s">
        <v>7159</v>
      </c>
      <c r="F269" s="1" t="s">
        <v>5617</v>
      </c>
      <c r="G269" s="1" t="s">
        <v>5618</v>
      </c>
      <c r="H269" s="1" t="s">
        <v>5633</v>
      </c>
      <c r="J269" s="1" t="s">
        <v>1005</v>
      </c>
      <c r="L269" s="1" t="s">
        <v>1436</v>
      </c>
      <c r="N269" s="1" t="s">
        <v>1435</v>
      </c>
      <c r="P269" s="1" t="s">
        <v>3591</v>
      </c>
      <c r="Q269" s="3">
        <v>1</v>
      </c>
      <c r="S269" s="23" t="s">
        <v>5949</v>
      </c>
      <c r="T269" s="23" t="s">
        <v>4931</v>
      </c>
      <c r="U269" s="3">
        <v>34</v>
      </c>
      <c r="W269" s="45" t="str">
        <f>HYPERLINK("http://ictvonline.org/taxonomy/p/taxonomy-history?taxnode_id=201851747","ICTVonline=201851747")</f>
        <v>ICTVonline=201851747</v>
      </c>
      <c r="AA269" s="1">
        <v>201850000</v>
      </c>
      <c r="AB269" s="1">
        <v>34</v>
      </c>
    </row>
    <row r="270" spans="1:28" x14ac:dyDescent="0.15">
      <c r="A270" s="1">
        <v>683</v>
      </c>
      <c r="B270" s="1" t="s">
        <v>7159</v>
      </c>
      <c r="F270" s="1" t="s">
        <v>5617</v>
      </c>
      <c r="G270" s="1" t="s">
        <v>5618</v>
      </c>
      <c r="H270" s="1" t="s">
        <v>5633</v>
      </c>
      <c r="J270" s="1" t="s">
        <v>1005</v>
      </c>
      <c r="L270" s="1" t="s">
        <v>1436</v>
      </c>
      <c r="N270" s="1" t="s">
        <v>1435</v>
      </c>
      <c r="P270" s="1" t="s">
        <v>3592</v>
      </c>
      <c r="Q270" s="3">
        <v>0</v>
      </c>
      <c r="S270" s="23" t="s">
        <v>5949</v>
      </c>
      <c r="T270" s="23" t="s">
        <v>4931</v>
      </c>
      <c r="U270" s="3">
        <v>34</v>
      </c>
      <c r="W270" s="45" t="str">
        <f>HYPERLINK("http://ictvonline.org/taxonomy/p/taxonomy-history?taxnode_id=201851748","ICTVonline=201851748")</f>
        <v>ICTVonline=201851748</v>
      </c>
      <c r="AA270" s="1">
        <v>201850000</v>
      </c>
      <c r="AB270" s="1">
        <v>34</v>
      </c>
    </row>
    <row r="271" spans="1:28" x14ac:dyDescent="0.15">
      <c r="A271" s="1">
        <v>685</v>
      </c>
      <c r="B271" s="1" t="s">
        <v>7159</v>
      </c>
      <c r="F271" s="1" t="s">
        <v>5617</v>
      </c>
      <c r="G271" s="1" t="s">
        <v>5618</v>
      </c>
      <c r="H271" s="1" t="s">
        <v>5633</v>
      </c>
      <c r="J271" s="1" t="s">
        <v>1005</v>
      </c>
      <c r="L271" s="1" t="s">
        <v>1436</v>
      </c>
      <c r="N271" s="1" t="s">
        <v>1435</v>
      </c>
      <c r="P271" s="1" t="s">
        <v>3593</v>
      </c>
      <c r="Q271" s="3">
        <v>0</v>
      </c>
      <c r="S271" s="23" t="s">
        <v>5949</v>
      </c>
      <c r="T271" s="23" t="s">
        <v>4931</v>
      </c>
      <c r="U271" s="3">
        <v>34</v>
      </c>
      <c r="W271" s="45" t="str">
        <f>HYPERLINK("http://ictvonline.org/taxonomy/p/taxonomy-history?taxnode_id=201851749","ICTVonline=201851749")</f>
        <v>ICTVonline=201851749</v>
      </c>
      <c r="AA271" s="1">
        <v>201850000</v>
      </c>
      <c r="AB271" s="1">
        <v>34</v>
      </c>
    </row>
    <row r="272" spans="1:28" x14ac:dyDescent="0.15">
      <c r="A272" s="1">
        <v>687</v>
      </c>
      <c r="B272" s="1" t="s">
        <v>7159</v>
      </c>
      <c r="F272" s="1" t="s">
        <v>5617</v>
      </c>
      <c r="G272" s="1" t="s">
        <v>5618</v>
      </c>
      <c r="H272" s="1" t="s">
        <v>5633</v>
      </c>
      <c r="J272" s="1" t="s">
        <v>1005</v>
      </c>
      <c r="L272" s="1" t="s">
        <v>1436</v>
      </c>
      <c r="N272" s="1" t="s">
        <v>1435</v>
      </c>
      <c r="P272" s="1" t="s">
        <v>3594</v>
      </c>
      <c r="Q272" s="3">
        <v>0</v>
      </c>
      <c r="S272" s="23" t="s">
        <v>5949</v>
      </c>
      <c r="T272" s="23" t="s">
        <v>4931</v>
      </c>
      <c r="U272" s="3">
        <v>34</v>
      </c>
      <c r="W272" s="45" t="str">
        <f>HYPERLINK("http://ictvonline.org/taxonomy/p/taxonomy-history?taxnode_id=201851750","ICTVonline=201851750")</f>
        <v>ICTVonline=201851750</v>
      </c>
      <c r="AA272" s="1">
        <v>201850000</v>
      </c>
      <c r="AB272" s="1">
        <v>34</v>
      </c>
    </row>
    <row r="273" spans="1:28" x14ac:dyDescent="0.15">
      <c r="A273" s="1">
        <v>689</v>
      </c>
      <c r="B273" s="1" t="s">
        <v>7159</v>
      </c>
      <c r="F273" s="1" t="s">
        <v>5617</v>
      </c>
      <c r="G273" s="1" t="s">
        <v>5618</v>
      </c>
      <c r="H273" s="1" t="s">
        <v>5633</v>
      </c>
      <c r="J273" s="1" t="s">
        <v>1005</v>
      </c>
      <c r="L273" s="1" t="s">
        <v>1436</v>
      </c>
      <c r="N273" s="1" t="s">
        <v>1435</v>
      </c>
      <c r="P273" s="1" t="s">
        <v>3595</v>
      </c>
      <c r="Q273" s="3">
        <v>0</v>
      </c>
      <c r="S273" s="23" t="s">
        <v>5949</v>
      </c>
      <c r="T273" s="23" t="s">
        <v>4931</v>
      </c>
      <c r="U273" s="3">
        <v>34</v>
      </c>
      <c r="W273" s="45" t="str">
        <f>HYPERLINK("http://ictvonline.org/taxonomy/p/taxonomy-history?taxnode_id=201851751","ICTVonline=201851751")</f>
        <v>ICTVonline=201851751</v>
      </c>
      <c r="AA273" s="1">
        <v>201850000</v>
      </c>
      <c r="AB273" s="1">
        <v>34</v>
      </c>
    </row>
    <row r="274" spans="1:28" x14ac:dyDescent="0.15">
      <c r="A274" s="1">
        <v>693</v>
      </c>
      <c r="B274" s="1" t="s">
        <v>7159</v>
      </c>
      <c r="F274" s="1" t="s">
        <v>5617</v>
      </c>
      <c r="G274" s="1" t="s">
        <v>5618</v>
      </c>
      <c r="H274" s="1" t="s">
        <v>5633</v>
      </c>
      <c r="J274" s="1" t="s">
        <v>1005</v>
      </c>
      <c r="L274" s="1" t="s">
        <v>1436</v>
      </c>
      <c r="N274" s="1" t="s">
        <v>2157</v>
      </c>
      <c r="P274" s="1" t="s">
        <v>3596</v>
      </c>
      <c r="Q274" s="3">
        <v>0</v>
      </c>
      <c r="S274" s="23" t="s">
        <v>5949</v>
      </c>
      <c r="T274" s="23" t="s">
        <v>4931</v>
      </c>
      <c r="U274" s="3">
        <v>34</v>
      </c>
      <c r="W274" s="45" t="str">
        <f>HYPERLINK("http://ictvonline.org/taxonomy/p/taxonomy-history?taxnode_id=201851753","ICTVonline=201851753")</f>
        <v>ICTVonline=201851753</v>
      </c>
      <c r="AA274" s="1">
        <v>201850000</v>
      </c>
      <c r="AB274" s="1">
        <v>34</v>
      </c>
    </row>
    <row r="275" spans="1:28" x14ac:dyDescent="0.15">
      <c r="A275" s="1">
        <v>695</v>
      </c>
      <c r="B275" s="1" t="s">
        <v>7159</v>
      </c>
      <c r="F275" s="1" t="s">
        <v>5617</v>
      </c>
      <c r="G275" s="1" t="s">
        <v>5618</v>
      </c>
      <c r="H275" s="1" t="s">
        <v>5633</v>
      </c>
      <c r="J275" s="1" t="s">
        <v>1005</v>
      </c>
      <c r="L275" s="1" t="s">
        <v>1436</v>
      </c>
      <c r="N275" s="1" t="s">
        <v>2157</v>
      </c>
      <c r="P275" s="1" t="s">
        <v>3597</v>
      </c>
      <c r="Q275" s="3">
        <v>1</v>
      </c>
      <c r="S275" s="23" t="s">
        <v>5949</v>
      </c>
      <c r="T275" s="23" t="s">
        <v>4931</v>
      </c>
      <c r="U275" s="3">
        <v>34</v>
      </c>
      <c r="W275" s="45" t="str">
        <f>HYPERLINK("http://ictvonline.org/taxonomy/p/taxonomy-history?taxnode_id=201851754","ICTVonline=201851754")</f>
        <v>ICTVonline=201851754</v>
      </c>
      <c r="AA275" s="1">
        <v>201850000</v>
      </c>
      <c r="AB275" s="1">
        <v>34</v>
      </c>
    </row>
    <row r="276" spans="1:28" x14ac:dyDescent="0.15">
      <c r="A276" s="1">
        <v>697</v>
      </c>
      <c r="B276" s="1" t="s">
        <v>7159</v>
      </c>
      <c r="F276" s="1" t="s">
        <v>5617</v>
      </c>
      <c r="G276" s="1" t="s">
        <v>5618</v>
      </c>
      <c r="H276" s="1" t="s">
        <v>5633</v>
      </c>
      <c r="J276" s="1" t="s">
        <v>1005</v>
      </c>
      <c r="L276" s="1" t="s">
        <v>1436</v>
      </c>
      <c r="N276" s="1" t="s">
        <v>2157</v>
      </c>
      <c r="P276" s="1" t="s">
        <v>3598</v>
      </c>
      <c r="Q276" s="3">
        <v>0</v>
      </c>
      <c r="S276" s="23" t="s">
        <v>5949</v>
      </c>
      <c r="T276" s="23" t="s">
        <v>4931</v>
      </c>
      <c r="U276" s="3">
        <v>34</v>
      </c>
      <c r="W276" s="45" t="str">
        <f>HYPERLINK("http://ictvonline.org/taxonomy/p/taxonomy-history?taxnode_id=201851755","ICTVonline=201851755")</f>
        <v>ICTVonline=201851755</v>
      </c>
      <c r="AA276" s="1">
        <v>201850000</v>
      </c>
      <c r="AB276" s="1">
        <v>34</v>
      </c>
    </row>
    <row r="277" spans="1:28" x14ac:dyDescent="0.15">
      <c r="A277" s="1">
        <v>701</v>
      </c>
      <c r="B277" s="1" t="s">
        <v>7159</v>
      </c>
      <c r="F277" s="1" t="s">
        <v>5617</v>
      </c>
      <c r="G277" s="1" t="s">
        <v>5618</v>
      </c>
      <c r="H277" s="1" t="s">
        <v>5633</v>
      </c>
      <c r="J277" s="1" t="s">
        <v>1005</v>
      </c>
      <c r="L277" s="1" t="s">
        <v>1436</v>
      </c>
      <c r="N277" s="1" t="s">
        <v>2158</v>
      </c>
      <c r="P277" s="1" t="s">
        <v>2159</v>
      </c>
      <c r="Q277" s="3">
        <v>0</v>
      </c>
      <c r="S277" s="23" t="s">
        <v>5949</v>
      </c>
      <c r="T277" s="23" t="s">
        <v>4931</v>
      </c>
      <c r="U277" s="3">
        <v>34</v>
      </c>
      <c r="W277" s="45" t="str">
        <f>HYPERLINK("http://ictvonline.org/taxonomy/p/taxonomy-history?taxnode_id=201851757","ICTVonline=201851757")</f>
        <v>ICTVonline=201851757</v>
      </c>
      <c r="AA277" s="1">
        <v>201850000</v>
      </c>
      <c r="AB277" s="1">
        <v>34</v>
      </c>
    </row>
    <row r="278" spans="1:28" x14ac:dyDescent="0.15">
      <c r="A278" s="1">
        <v>703</v>
      </c>
      <c r="B278" s="1" t="s">
        <v>7159</v>
      </c>
      <c r="F278" s="1" t="s">
        <v>5617</v>
      </c>
      <c r="G278" s="1" t="s">
        <v>5618</v>
      </c>
      <c r="H278" s="1" t="s">
        <v>5633</v>
      </c>
      <c r="J278" s="1" t="s">
        <v>1005</v>
      </c>
      <c r="L278" s="1" t="s">
        <v>1436</v>
      </c>
      <c r="N278" s="1" t="s">
        <v>2158</v>
      </c>
      <c r="P278" s="1" t="s">
        <v>2160</v>
      </c>
      <c r="Q278" s="3">
        <v>0</v>
      </c>
      <c r="S278" s="23" t="s">
        <v>5949</v>
      </c>
      <c r="T278" s="23" t="s">
        <v>4931</v>
      </c>
      <c r="U278" s="3">
        <v>34</v>
      </c>
      <c r="W278" s="45" t="str">
        <f>HYPERLINK("http://ictvonline.org/taxonomy/p/taxonomy-history?taxnode_id=201851758","ICTVonline=201851758")</f>
        <v>ICTVonline=201851758</v>
      </c>
      <c r="AA278" s="1">
        <v>201850000</v>
      </c>
      <c r="AB278" s="1">
        <v>34</v>
      </c>
    </row>
    <row r="279" spans="1:28" x14ac:dyDescent="0.15">
      <c r="A279" s="1">
        <v>705</v>
      </c>
      <c r="B279" s="1" t="s">
        <v>7159</v>
      </c>
      <c r="F279" s="1" t="s">
        <v>5617</v>
      </c>
      <c r="G279" s="1" t="s">
        <v>5618</v>
      </c>
      <c r="H279" s="1" t="s">
        <v>5633</v>
      </c>
      <c r="J279" s="1" t="s">
        <v>1005</v>
      </c>
      <c r="L279" s="1" t="s">
        <v>1436</v>
      </c>
      <c r="N279" s="1" t="s">
        <v>2158</v>
      </c>
      <c r="P279" s="1" t="s">
        <v>2161</v>
      </c>
      <c r="Q279" s="3">
        <v>0</v>
      </c>
      <c r="S279" s="23" t="s">
        <v>5949</v>
      </c>
      <c r="T279" s="23" t="s">
        <v>4931</v>
      </c>
      <c r="U279" s="3">
        <v>34</v>
      </c>
      <c r="W279" s="45" t="str">
        <f>HYPERLINK("http://ictvonline.org/taxonomy/p/taxonomy-history?taxnode_id=201851759","ICTVonline=201851759")</f>
        <v>ICTVonline=201851759</v>
      </c>
      <c r="AA279" s="1">
        <v>201850000</v>
      </c>
      <c r="AB279" s="1">
        <v>34</v>
      </c>
    </row>
    <row r="280" spans="1:28" x14ac:dyDescent="0.15">
      <c r="A280" s="1">
        <v>707</v>
      </c>
      <c r="B280" s="1" t="s">
        <v>7159</v>
      </c>
      <c r="F280" s="1" t="s">
        <v>5617</v>
      </c>
      <c r="G280" s="1" t="s">
        <v>5618</v>
      </c>
      <c r="H280" s="1" t="s">
        <v>5633</v>
      </c>
      <c r="J280" s="1" t="s">
        <v>1005</v>
      </c>
      <c r="L280" s="1" t="s">
        <v>1436</v>
      </c>
      <c r="N280" s="1" t="s">
        <v>2158</v>
      </c>
      <c r="P280" s="1" t="s">
        <v>2162</v>
      </c>
      <c r="Q280" s="3">
        <v>1</v>
      </c>
      <c r="S280" s="23" t="s">
        <v>5949</v>
      </c>
      <c r="T280" s="23" t="s">
        <v>4931</v>
      </c>
      <c r="U280" s="3">
        <v>34</v>
      </c>
      <c r="W280" s="45" t="str">
        <f>HYPERLINK("http://ictvonline.org/taxonomy/p/taxonomy-history?taxnode_id=201851760","ICTVonline=201851760")</f>
        <v>ICTVonline=201851760</v>
      </c>
      <c r="AA280" s="1">
        <v>201850000</v>
      </c>
      <c r="AB280" s="1">
        <v>34</v>
      </c>
    </row>
    <row r="281" spans="1:28" x14ac:dyDescent="0.15">
      <c r="A281" s="1">
        <v>709</v>
      </c>
      <c r="B281" s="1" t="s">
        <v>7159</v>
      </c>
      <c r="F281" s="1" t="s">
        <v>5617</v>
      </c>
      <c r="G281" s="1" t="s">
        <v>5618</v>
      </c>
      <c r="H281" s="1" t="s">
        <v>5633</v>
      </c>
      <c r="J281" s="1" t="s">
        <v>1005</v>
      </c>
      <c r="L281" s="1" t="s">
        <v>1436</v>
      </c>
      <c r="N281" s="1" t="s">
        <v>2158</v>
      </c>
      <c r="P281" s="1" t="s">
        <v>2163</v>
      </c>
      <c r="Q281" s="3">
        <v>0</v>
      </c>
      <c r="S281" s="23" t="s">
        <v>5949</v>
      </c>
      <c r="T281" s="23" t="s">
        <v>4931</v>
      </c>
      <c r="U281" s="3">
        <v>34</v>
      </c>
      <c r="W281" s="45" t="str">
        <f>HYPERLINK("http://ictvonline.org/taxonomy/p/taxonomy-history?taxnode_id=201851761","ICTVonline=201851761")</f>
        <v>ICTVonline=201851761</v>
      </c>
      <c r="AA281" s="1">
        <v>201850000</v>
      </c>
      <c r="AB281" s="1">
        <v>34</v>
      </c>
    </row>
    <row r="282" spans="1:28" x14ac:dyDescent="0.15">
      <c r="A282" s="1">
        <v>711</v>
      </c>
      <c r="B282" s="1" t="s">
        <v>7159</v>
      </c>
      <c r="F282" s="1" t="s">
        <v>5617</v>
      </c>
      <c r="G282" s="1" t="s">
        <v>5618</v>
      </c>
      <c r="H282" s="1" t="s">
        <v>5633</v>
      </c>
      <c r="J282" s="1" t="s">
        <v>1005</v>
      </c>
      <c r="L282" s="1" t="s">
        <v>1436</v>
      </c>
      <c r="N282" s="1" t="s">
        <v>2158</v>
      </c>
      <c r="P282" s="1" t="s">
        <v>2164</v>
      </c>
      <c r="Q282" s="3">
        <v>0</v>
      </c>
      <c r="S282" s="23" t="s">
        <v>5949</v>
      </c>
      <c r="T282" s="23" t="s">
        <v>4931</v>
      </c>
      <c r="U282" s="3">
        <v>34</v>
      </c>
      <c r="W282" s="45" t="str">
        <f>HYPERLINK("http://ictvonline.org/taxonomy/p/taxonomy-history?taxnode_id=201851762","ICTVonline=201851762")</f>
        <v>ICTVonline=201851762</v>
      </c>
      <c r="AA282" s="1">
        <v>201850000</v>
      </c>
      <c r="AB282" s="1">
        <v>34</v>
      </c>
    </row>
    <row r="283" spans="1:28" x14ac:dyDescent="0.15">
      <c r="A283" s="1">
        <v>713</v>
      </c>
      <c r="B283" s="1" t="s">
        <v>7159</v>
      </c>
      <c r="F283" s="1" t="s">
        <v>5617</v>
      </c>
      <c r="G283" s="1" t="s">
        <v>5618</v>
      </c>
      <c r="H283" s="1" t="s">
        <v>5633</v>
      </c>
      <c r="J283" s="1" t="s">
        <v>1005</v>
      </c>
      <c r="L283" s="1" t="s">
        <v>1436</v>
      </c>
      <c r="N283" s="1" t="s">
        <v>2158</v>
      </c>
      <c r="P283" s="1" t="s">
        <v>2165</v>
      </c>
      <c r="Q283" s="3">
        <v>0</v>
      </c>
      <c r="S283" s="23" t="s">
        <v>5949</v>
      </c>
      <c r="T283" s="23" t="s">
        <v>4931</v>
      </c>
      <c r="U283" s="3">
        <v>34</v>
      </c>
      <c r="W283" s="45" t="str">
        <f>HYPERLINK("http://ictvonline.org/taxonomy/p/taxonomy-history?taxnode_id=201851763","ICTVonline=201851763")</f>
        <v>ICTVonline=201851763</v>
      </c>
      <c r="AA283" s="1">
        <v>201850000</v>
      </c>
      <c r="AB283" s="1">
        <v>34</v>
      </c>
    </row>
    <row r="284" spans="1:28" x14ac:dyDescent="0.15">
      <c r="A284" s="1">
        <v>717</v>
      </c>
      <c r="B284" s="1" t="s">
        <v>7159</v>
      </c>
      <c r="F284" s="1" t="s">
        <v>5617</v>
      </c>
      <c r="G284" s="1" t="s">
        <v>5618</v>
      </c>
      <c r="H284" s="1" t="s">
        <v>5633</v>
      </c>
      <c r="J284" s="1" t="s">
        <v>1005</v>
      </c>
      <c r="L284" s="1" t="s">
        <v>1436</v>
      </c>
      <c r="N284" s="1" t="s">
        <v>2299</v>
      </c>
      <c r="P284" s="1" t="s">
        <v>3599</v>
      </c>
      <c r="Q284" s="3">
        <v>1</v>
      </c>
      <c r="S284" s="23" t="s">
        <v>5949</v>
      </c>
      <c r="T284" s="23" t="s">
        <v>4931</v>
      </c>
      <c r="U284" s="3">
        <v>34</v>
      </c>
      <c r="W284" s="45" t="str">
        <f>HYPERLINK("http://ictvonline.org/taxonomy/p/taxonomy-history?taxnode_id=201851765","ICTVonline=201851765")</f>
        <v>ICTVonline=201851765</v>
      </c>
      <c r="AA284" s="1">
        <v>201850000</v>
      </c>
      <c r="AB284" s="1">
        <v>34</v>
      </c>
    </row>
    <row r="285" spans="1:28" x14ac:dyDescent="0.15">
      <c r="A285" s="1">
        <v>719</v>
      </c>
      <c r="B285" s="1" t="s">
        <v>7159</v>
      </c>
      <c r="F285" s="1" t="s">
        <v>5617</v>
      </c>
      <c r="G285" s="1" t="s">
        <v>5618</v>
      </c>
      <c r="H285" s="1" t="s">
        <v>5633</v>
      </c>
      <c r="J285" s="1" t="s">
        <v>1005</v>
      </c>
      <c r="L285" s="1" t="s">
        <v>1436</v>
      </c>
      <c r="N285" s="1" t="s">
        <v>2299</v>
      </c>
      <c r="P285" s="1" t="s">
        <v>3600</v>
      </c>
      <c r="Q285" s="3">
        <v>0</v>
      </c>
      <c r="S285" s="23" t="s">
        <v>5949</v>
      </c>
      <c r="T285" s="23" t="s">
        <v>4931</v>
      </c>
      <c r="U285" s="3">
        <v>34</v>
      </c>
      <c r="W285" s="45" t="str">
        <f>HYPERLINK("http://ictvonline.org/taxonomy/p/taxonomy-history?taxnode_id=201851766","ICTVonline=201851766")</f>
        <v>ICTVonline=201851766</v>
      </c>
      <c r="AA285" s="1">
        <v>201850000</v>
      </c>
      <c r="AB285" s="1">
        <v>34</v>
      </c>
    </row>
    <row r="286" spans="1:28" x14ac:dyDescent="0.15">
      <c r="A286" s="1">
        <v>723</v>
      </c>
      <c r="B286" s="1" t="s">
        <v>7159</v>
      </c>
      <c r="F286" s="1" t="s">
        <v>5617</v>
      </c>
      <c r="G286" s="1" t="s">
        <v>5618</v>
      </c>
      <c r="H286" s="1" t="s">
        <v>5633</v>
      </c>
      <c r="J286" s="1" t="s">
        <v>1005</v>
      </c>
      <c r="L286" s="1" t="s">
        <v>1436</v>
      </c>
      <c r="N286" s="1" t="s">
        <v>4560</v>
      </c>
      <c r="P286" s="1" t="s">
        <v>4561</v>
      </c>
      <c r="Q286" s="3">
        <v>0</v>
      </c>
      <c r="S286" s="23" t="s">
        <v>5949</v>
      </c>
      <c r="T286" s="23" t="s">
        <v>4931</v>
      </c>
      <c r="U286" s="3">
        <v>34</v>
      </c>
      <c r="W286" s="45" t="str">
        <f>HYPERLINK("http://ictvonline.org/taxonomy/p/taxonomy-history?taxnode_id=201851768","ICTVonline=201851768")</f>
        <v>ICTVonline=201851768</v>
      </c>
      <c r="AA286" s="1">
        <v>201850000</v>
      </c>
      <c r="AB286" s="1">
        <v>34</v>
      </c>
    </row>
    <row r="287" spans="1:28" x14ac:dyDescent="0.15">
      <c r="A287" s="1">
        <v>725</v>
      </c>
      <c r="B287" s="1" t="s">
        <v>7159</v>
      </c>
      <c r="F287" s="1" t="s">
        <v>5617</v>
      </c>
      <c r="G287" s="1" t="s">
        <v>5618</v>
      </c>
      <c r="H287" s="1" t="s">
        <v>5633</v>
      </c>
      <c r="J287" s="1" t="s">
        <v>1005</v>
      </c>
      <c r="L287" s="1" t="s">
        <v>1436</v>
      </c>
      <c r="N287" s="1" t="s">
        <v>4560</v>
      </c>
      <c r="P287" s="1" t="s">
        <v>4562</v>
      </c>
      <c r="Q287" s="3">
        <v>0</v>
      </c>
      <c r="S287" s="23" t="s">
        <v>5949</v>
      </c>
      <c r="T287" s="23" t="s">
        <v>4931</v>
      </c>
      <c r="U287" s="3">
        <v>34</v>
      </c>
      <c r="W287" s="45" t="str">
        <f>HYPERLINK("http://ictvonline.org/taxonomy/p/taxonomy-history?taxnode_id=201851769","ICTVonline=201851769")</f>
        <v>ICTVonline=201851769</v>
      </c>
      <c r="AA287" s="1">
        <v>201850000</v>
      </c>
      <c r="AB287" s="1">
        <v>34</v>
      </c>
    </row>
    <row r="288" spans="1:28" x14ac:dyDescent="0.15">
      <c r="A288" s="1">
        <v>727</v>
      </c>
      <c r="B288" s="1" t="s">
        <v>7159</v>
      </c>
      <c r="F288" s="1" t="s">
        <v>5617</v>
      </c>
      <c r="G288" s="1" t="s">
        <v>5618</v>
      </c>
      <c r="H288" s="1" t="s">
        <v>5633</v>
      </c>
      <c r="J288" s="1" t="s">
        <v>1005</v>
      </c>
      <c r="L288" s="1" t="s">
        <v>1436</v>
      </c>
      <c r="N288" s="1" t="s">
        <v>4560</v>
      </c>
      <c r="P288" s="1" t="s">
        <v>4563</v>
      </c>
      <c r="Q288" s="3">
        <v>1</v>
      </c>
      <c r="S288" s="23" t="s">
        <v>5949</v>
      </c>
      <c r="T288" s="23" t="s">
        <v>4931</v>
      </c>
      <c r="U288" s="3">
        <v>34</v>
      </c>
      <c r="W288" s="45" t="str">
        <f>HYPERLINK("http://ictvonline.org/taxonomy/p/taxonomy-history?taxnode_id=201851770","ICTVonline=201851770")</f>
        <v>ICTVonline=201851770</v>
      </c>
      <c r="AA288" s="1">
        <v>201850000</v>
      </c>
      <c r="AB288" s="1">
        <v>34</v>
      </c>
    </row>
    <row r="289" spans="1:28" x14ac:dyDescent="0.15">
      <c r="A289" s="1">
        <v>729</v>
      </c>
      <c r="B289" s="1" t="s">
        <v>7159</v>
      </c>
      <c r="F289" s="1" t="s">
        <v>5617</v>
      </c>
      <c r="G289" s="1" t="s">
        <v>5618</v>
      </c>
      <c r="H289" s="1" t="s">
        <v>5633</v>
      </c>
      <c r="J289" s="1" t="s">
        <v>1005</v>
      </c>
      <c r="L289" s="1" t="s">
        <v>1436</v>
      </c>
      <c r="N289" s="1" t="s">
        <v>4560</v>
      </c>
      <c r="P289" s="1" t="s">
        <v>4564</v>
      </c>
      <c r="Q289" s="3">
        <v>0</v>
      </c>
      <c r="S289" s="23" t="s">
        <v>5949</v>
      </c>
      <c r="T289" s="23" t="s">
        <v>4931</v>
      </c>
      <c r="U289" s="3">
        <v>34</v>
      </c>
      <c r="W289" s="45" t="str">
        <f>HYPERLINK("http://ictvonline.org/taxonomy/p/taxonomy-history?taxnode_id=201851771","ICTVonline=201851771")</f>
        <v>ICTVonline=201851771</v>
      </c>
      <c r="AA289" s="1">
        <v>201850000</v>
      </c>
      <c r="AB289" s="1">
        <v>34</v>
      </c>
    </row>
    <row r="290" spans="1:28" x14ac:dyDescent="0.15">
      <c r="A290" s="1">
        <v>731</v>
      </c>
      <c r="B290" s="1" t="s">
        <v>7159</v>
      </c>
      <c r="F290" s="1" t="s">
        <v>5617</v>
      </c>
      <c r="G290" s="1" t="s">
        <v>5618</v>
      </c>
      <c r="H290" s="1" t="s">
        <v>5633</v>
      </c>
      <c r="J290" s="1" t="s">
        <v>1005</v>
      </c>
      <c r="L290" s="1" t="s">
        <v>1436</v>
      </c>
      <c r="N290" s="1" t="s">
        <v>4560</v>
      </c>
      <c r="P290" s="1" t="s">
        <v>4565</v>
      </c>
      <c r="Q290" s="3">
        <v>0</v>
      </c>
      <c r="S290" s="23" t="s">
        <v>5949</v>
      </c>
      <c r="T290" s="23" t="s">
        <v>4931</v>
      </c>
      <c r="U290" s="3">
        <v>34</v>
      </c>
      <c r="W290" s="45" t="str">
        <f>HYPERLINK("http://ictvonline.org/taxonomy/p/taxonomy-history?taxnode_id=201851772","ICTVonline=201851772")</f>
        <v>ICTVonline=201851772</v>
      </c>
      <c r="AA290" s="1">
        <v>201850000</v>
      </c>
      <c r="AB290" s="1">
        <v>34</v>
      </c>
    </row>
    <row r="291" spans="1:28" x14ac:dyDescent="0.15">
      <c r="A291" s="1">
        <v>735</v>
      </c>
      <c r="B291" s="1" t="s">
        <v>7159</v>
      </c>
      <c r="F291" s="1" t="s">
        <v>5617</v>
      </c>
      <c r="G291" s="1" t="s">
        <v>5618</v>
      </c>
      <c r="H291" s="1" t="s">
        <v>5633</v>
      </c>
      <c r="J291" s="1" t="s">
        <v>1005</v>
      </c>
      <c r="L291" s="1" t="s">
        <v>1436</v>
      </c>
      <c r="N291" s="1" t="s">
        <v>2166</v>
      </c>
      <c r="P291" s="1" t="s">
        <v>4566</v>
      </c>
      <c r="Q291" s="3">
        <v>0</v>
      </c>
      <c r="S291" s="23" t="s">
        <v>5949</v>
      </c>
      <c r="T291" s="23" t="s">
        <v>4931</v>
      </c>
      <c r="U291" s="3">
        <v>34</v>
      </c>
      <c r="W291" s="45" t="str">
        <f>HYPERLINK("http://ictvonline.org/taxonomy/p/taxonomy-history?taxnode_id=201851774","ICTVonline=201851774")</f>
        <v>ICTVonline=201851774</v>
      </c>
      <c r="AA291" s="1">
        <v>201850000</v>
      </c>
      <c r="AB291" s="1">
        <v>34</v>
      </c>
    </row>
    <row r="292" spans="1:28" x14ac:dyDescent="0.15">
      <c r="A292" s="1">
        <v>737</v>
      </c>
      <c r="B292" s="1" t="s">
        <v>7159</v>
      </c>
      <c r="F292" s="1" t="s">
        <v>5617</v>
      </c>
      <c r="G292" s="1" t="s">
        <v>5618</v>
      </c>
      <c r="H292" s="1" t="s">
        <v>5633</v>
      </c>
      <c r="J292" s="1" t="s">
        <v>1005</v>
      </c>
      <c r="L292" s="1" t="s">
        <v>1436</v>
      </c>
      <c r="N292" s="1" t="s">
        <v>2166</v>
      </c>
      <c r="P292" s="1" t="s">
        <v>5114</v>
      </c>
      <c r="Q292" s="3">
        <v>0</v>
      </c>
      <c r="S292" s="23" t="s">
        <v>5949</v>
      </c>
      <c r="T292" s="23" t="s">
        <v>4931</v>
      </c>
      <c r="U292" s="3">
        <v>34</v>
      </c>
      <c r="W292" s="45" t="str">
        <f>HYPERLINK("http://ictvonline.org/taxonomy/p/taxonomy-history?taxnode_id=201855583","ICTVonline=201855583")</f>
        <v>ICTVonline=201855583</v>
      </c>
      <c r="AA292" s="1">
        <v>201850000</v>
      </c>
      <c r="AB292" s="1">
        <v>34</v>
      </c>
    </row>
    <row r="293" spans="1:28" x14ac:dyDescent="0.15">
      <c r="A293" s="1">
        <v>739</v>
      </c>
      <c r="B293" s="1" t="s">
        <v>7159</v>
      </c>
      <c r="F293" s="1" t="s">
        <v>5617</v>
      </c>
      <c r="G293" s="1" t="s">
        <v>5618</v>
      </c>
      <c r="H293" s="1" t="s">
        <v>5633</v>
      </c>
      <c r="J293" s="1" t="s">
        <v>1005</v>
      </c>
      <c r="L293" s="1" t="s">
        <v>1436</v>
      </c>
      <c r="N293" s="1" t="s">
        <v>2166</v>
      </c>
      <c r="P293" s="1" t="s">
        <v>3601</v>
      </c>
      <c r="Q293" s="3">
        <v>0</v>
      </c>
      <c r="S293" s="23" t="s">
        <v>5949</v>
      </c>
      <c r="T293" s="23" t="s">
        <v>4931</v>
      </c>
      <c r="U293" s="3">
        <v>34</v>
      </c>
      <c r="W293" s="45" t="str">
        <f>HYPERLINK("http://ictvonline.org/taxonomy/p/taxonomy-history?taxnode_id=201851775","ICTVonline=201851775")</f>
        <v>ICTVonline=201851775</v>
      </c>
      <c r="AA293" s="1">
        <v>201850000</v>
      </c>
      <c r="AB293" s="1">
        <v>34</v>
      </c>
    </row>
    <row r="294" spans="1:28" x14ac:dyDescent="0.15">
      <c r="A294" s="1">
        <v>741</v>
      </c>
      <c r="B294" s="1" t="s">
        <v>7159</v>
      </c>
      <c r="F294" s="1" t="s">
        <v>5617</v>
      </c>
      <c r="G294" s="1" t="s">
        <v>5618</v>
      </c>
      <c r="H294" s="1" t="s">
        <v>5633</v>
      </c>
      <c r="J294" s="1" t="s">
        <v>1005</v>
      </c>
      <c r="L294" s="1" t="s">
        <v>1436</v>
      </c>
      <c r="N294" s="1" t="s">
        <v>2166</v>
      </c>
      <c r="P294" s="1" t="s">
        <v>4567</v>
      </c>
      <c r="Q294" s="3">
        <v>0</v>
      </c>
      <c r="S294" s="23" t="s">
        <v>5949</v>
      </c>
      <c r="T294" s="23" t="s">
        <v>4931</v>
      </c>
      <c r="U294" s="3">
        <v>34</v>
      </c>
      <c r="W294" s="45" t="str">
        <f>HYPERLINK("http://ictvonline.org/taxonomy/p/taxonomy-history?taxnode_id=201851776","ICTVonline=201851776")</f>
        <v>ICTVonline=201851776</v>
      </c>
      <c r="AA294" s="1">
        <v>201850000</v>
      </c>
      <c r="AB294" s="1">
        <v>34</v>
      </c>
    </row>
    <row r="295" spans="1:28" x14ac:dyDescent="0.15">
      <c r="A295" s="1">
        <v>743</v>
      </c>
      <c r="B295" s="1" t="s">
        <v>7159</v>
      </c>
      <c r="F295" s="1" t="s">
        <v>5617</v>
      </c>
      <c r="G295" s="1" t="s">
        <v>5618</v>
      </c>
      <c r="H295" s="1" t="s">
        <v>5633</v>
      </c>
      <c r="J295" s="1" t="s">
        <v>1005</v>
      </c>
      <c r="L295" s="1" t="s">
        <v>1436</v>
      </c>
      <c r="N295" s="1" t="s">
        <v>2166</v>
      </c>
      <c r="P295" s="1" t="s">
        <v>4568</v>
      </c>
      <c r="Q295" s="3">
        <v>0</v>
      </c>
      <c r="S295" s="23" t="s">
        <v>5949</v>
      </c>
      <c r="T295" s="23" t="s">
        <v>4931</v>
      </c>
      <c r="U295" s="3">
        <v>34</v>
      </c>
      <c r="W295" s="45" t="str">
        <f>HYPERLINK("http://ictvonline.org/taxonomy/p/taxonomy-history?taxnode_id=201851777","ICTVonline=201851777")</f>
        <v>ICTVonline=201851777</v>
      </c>
      <c r="AA295" s="1">
        <v>201850000</v>
      </c>
      <c r="AB295" s="1">
        <v>34</v>
      </c>
    </row>
    <row r="296" spans="1:28" x14ac:dyDescent="0.15">
      <c r="A296" s="1">
        <v>745</v>
      </c>
      <c r="B296" s="1" t="s">
        <v>7159</v>
      </c>
      <c r="F296" s="1" t="s">
        <v>5617</v>
      </c>
      <c r="G296" s="1" t="s">
        <v>5618</v>
      </c>
      <c r="H296" s="1" t="s">
        <v>5633</v>
      </c>
      <c r="J296" s="1" t="s">
        <v>1005</v>
      </c>
      <c r="L296" s="1" t="s">
        <v>1436</v>
      </c>
      <c r="N296" s="1" t="s">
        <v>2166</v>
      </c>
      <c r="P296" s="1" t="s">
        <v>4569</v>
      </c>
      <c r="Q296" s="3">
        <v>0</v>
      </c>
      <c r="S296" s="23" t="s">
        <v>5949</v>
      </c>
      <c r="T296" s="23" t="s">
        <v>4931</v>
      </c>
      <c r="U296" s="3">
        <v>34</v>
      </c>
      <c r="W296" s="45" t="str">
        <f>HYPERLINK("http://ictvonline.org/taxonomy/p/taxonomy-history?taxnode_id=201851778","ICTVonline=201851778")</f>
        <v>ICTVonline=201851778</v>
      </c>
      <c r="AA296" s="1">
        <v>201850000</v>
      </c>
      <c r="AB296" s="1">
        <v>34</v>
      </c>
    </row>
    <row r="297" spans="1:28" x14ac:dyDescent="0.15">
      <c r="A297" s="1">
        <v>747</v>
      </c>
      <c r="B297" s="1" t="s">
        <v>7159</v>
      </c>
      <c r="F297" s="1" t="s">
        <v>5617</v>
      </c>
      <c r="G297" s="1" t="s">
        <v>5618</v>
      </c>
      <c r="H297" s="1" t="s">
        <v>5633</v>
      </c>
      <c r="J297" s="1" t="s">
        <v>1005</v>
      </c>
      <c r="L297" s="1" t="s">
        <v>1436</v>
      </c>
      <c r="N297" s="1" t="s">
        <v>2166</v>
      </c>
      <c r="P297" s="1" t="s">
        <v>3602</v>
      </c>
      <c r="Q297" s="3">
        <v>1</v>
      </c>
      <c r="S297" s="23" t="s">
        <v>5949</v>
      </c>
      <c r="T297" s="23" t="s">
        <v>4931</v>
      </c>
      <c r="U297" s="3">
        <v>34</v>
      </c>
      <c r="W297" s="45" t="str">
        <f>HYPERLINK("http://ictvonline.org/taxonomy/p/taxonomy-history?taxnode_id=201851779","ICTVonline=201851779")</f>
        <v>ICTVonline=201851779</v>
      </c>
      <c r="AA297" s="1">
        <v>201850000</v>
      </c>
      <c r="AB297" s="1">
        <v>34</v>
      </c>
    </row>
    <row r="298" spans="1:28" x14ac:dyDescent="0.15">
      <c r="A298" s="1">
        <v>751</v>
      </c>
      <c r="B298" s="1" t="s">
        <v>7159</v>
      </c>
      <c r="F298" s="1" t="s">
        <v>5617</v>
      </c>
      <c r="G298" s="1" t="s">
        <v>5618</v>
      </c>
      <c r="H298" s="1" t="s">
        <v>5633</v>
      </c>
      <c r="J298" s="1" t="s">
        <v>1005</v>
      </c>
      <c r="L298" s="1" t="s">
        <v>1436</v>
      </c>
      <c r="N298" s="1" t="s">
        <v>2300</v>
      </c>
      <c r="P298" s="1" t="s">
        <v>3603</v>
      </c>
      <c r="Q298" s="3">
        <v>1</v>
      </c>
      <c r="S298" s="23" t="s">
        <v>5949</v>
      </c>
      <c r="T298" s="23" t="s">
        <v>4931</v>
      </c>
      <c r="U298" s="3">
        <v>34</v>
      </c>
      <c r="W298" s="45" t="str">
        <f>HYPERLINK("http://ictvonline.org/taxonomy/p/taxonomy-history?taxnode_id=201851781","ICTVonline=201851781")</f>
        <v>ICTVonline=201851781</v>
      </c>
      <c r="AA298" s="1">
        <v>201850000</v>
      </c>
      <c r="AB298" s="1">
        <v>34</v>
      </c>
    </row>
    <row r="299" spans="1:28" x14ac:dyDescent="0.15">
      <c r="A299" s="1">
        <v>753</v>
      </c>
      <c r="B299" s="1" t="s">
        <v>7159</v>
      </c>
      <c r="F299" s="1" t="s">
        <v>5617</v>
      </c>
      <c r="G299" s="1" t="s">
        <v>5618</v>
      </c>
      <c r="H299" s="1" t="s">
        <v>5633</v>
      </c>
      <c r="J299" s="1" t="s">
        <v>1005</v>
      </c>
      <c r="L299" s="1" t="s">
        <v>1436</v>
      </c>
      <c r="N299" s="1" t="s">
        <v>2300</v>
      </c>
      <c r="P299" s="1" t="s">
        <v>4570</v>
      </c>
      <c r="Q299" s="3">
        <v>0</v>
      </c>
      <c r="S299" s="23" t="s">
        <v>5949</v>
      </c>
      <c r="T299" s="23" t="s">
        <v>4931</v>
      </c>
      <c r="U299" s="3">
        <v>34</v>
      </c>
      <c r="W299" s="45" t="str">
        <f>HYPERLINK("http://ictvonline.org/taxonomy/p/taxonomy-history?taxnode_id=201851782","ICTVonline=201851782")</f>
        <v>ICTVonline=201851782</v>
      </c>
      <c r="AA299" s="1">
        <v>201850000</v>
      </c>
      <c r="AB299" s="1">
        <v>34</v>
      </c>
    </row>
    <row r="300" spans="1:28" x14ac:dyDescent="0.15">
      <c r="A300" s="1">
        <v>755</v>
      </c>
      <c r="B300" s="1" t="s">
        <v>7159</v>
      </c>
      <c r="F300" s="1" t="s">
        <v>5617</v>
      </c>
      <c r="G300" s="1" t="s">
        <v>5618</v>
      </c>
      <c r="H300" s="1" t="s">
        <v>5633</v>
      </c>
      <c r="J300" s="1" t="s">
        <v>1005</v>
      </c>
      <c r="L300" s="1" t="s">
        <v>1436</v>
      </c>
      <c r="N300" s="1" t="s">
        <v>2300</v>
      </c>
      <c r="P300" s="1" t="s">
        <v>3604</v>
      </c>
      <c r="Q300" s="3">
        <v>0</v>
      </c>
      <c r="S300" s="23" t="s">
        <v>5949</v>
      </c>
      <c r="T300" s="23" t="s">
        <v>4931</v>
      </c>
      <c r="U300" s="3">
        <v>34</v>
      </c>
      <c r="W300" s="45" t="str">
        <f>HYPERLINK("http://ictvonline.org/taxonomy/p/taxonomy-history?taxnode_id=201851783","ICTVonline=201851783")</f>
        <v>ICTVonline=201851783</v>
      </c>
      <c r="AA300" s="1">
        <v>201850000</v>
      </c>
      <c r="AB300" s="1">
        <v>34</v>
      </c>
    </row>
    <row r="301" spans="1:28" x14ac:dyDescent="0.15">
      <c r="A301" s="1">
        <v>759</v>
      </c>
      <c r="B301" s="1" t="s">
        <v>7159</v>
      </c>
      <c r="F301" s="1" t="s">
        <v>5617</v>
      </c>
      <c r="G301" s="1" t="s">
        <v>5618</v>
      </c>
      <c r="H301" s="1" t="s">
        <v>5633</v>
      </c>
      <c r="J301" s="1" t="s">
        <v>1005</v>
      </c>
      <c r="L301" s="1" t="s">
        <v>1436</v>
      </c>
      <c r="N301" s="1" t="s">
        <v>1517</v>
      </c>
      <c r="P301" s="1" t="s">
        <v>3605</v>
      </c>
      <c r="Q301" s="3">
        <v>1</v>
      </c>
      <c r="S301" s="23" t="s">
        <v>5949</v>
      </c>
      <c r="T301" s="23" t="s">
        <v>4931</v>
      </c>
      <c r="U301" s="3">
        <v>34</v>
      </c>
      <c r="W301" s="45" t="str">
        <f>HYPERLINK("http://ictvonline.org/taxonomy/p/taxonomy-history?taxnode_id=201851787","ICTVonline=201851787")</f>
        <v>ICTVonline=201851787</v>
      </c>
      <c r="AA301" s="1">
        <v>201850000</v>
      </c>
      <c r="AB301" s="1">
        <v>34</v>
      </c>
    </row>
    <row r="302" spans="1:28" x14ac:dyDescent="0.15">
      <c r="A302" s="1">
        <v>763</v>
      </c>
      <c r="B302" s="1" t="s">
        <v>7159</v>
      </c>
      <c r="F302" s="1" t="s">
        <v>5617</v>
      </c>
      <c r="G302" s="1" t="s">
        <v>5618</v>
      </c>
      <c r="H302" s="1" t="s">
        <v>5633</v>
      </c>
      <c r="J302" s="1" t="s">
        <v>1005</v>
      </c>
      <c r="L302" s="1" t="s">
        <v>1436</v>
      </c>
      <c r="N302" s="1" t="s">
        <v>1438</v>
      </c>
      <c r="P302" s="1" t="s">
        <v>3606</v>
      </c>
      <c r="Q302" s="3">
        <v>0</v>
      </c>
      <c r="S302" s="23" t="s">
        <v>5949</v>
      </c>
      <c r="T302" s="23" t="s">
        <v>4931</v>
      </c>
      <c r="U302" s="3">
        <v>34</v>
      </c>
      <c r="W302" s="45" t="str">
        <f>HYPERLINK("http://ictvonline.org/taxonomy/p/taxonomy-history?taxnode_id=201851789","ICTVonline=201851789")</f>
        <v>ICTVonline=201851789</v>
      </c>
      <c r="AA302" s="1">
        <v>201850000</v>
      </c>
      <c r="AB302" s="1">
        <v>34</v>
      </c>
    </row>
    <row r="303" spans="1:28" x14ac:dyDescent="0.15">
      <c r="A303" s="1">
        <v>765</v>
      </c>
      <c r="B303" s="1" t="s">
        <v>7159</v>
      </c>
      <c r="F303" s="1" t="s">
        <v>5617</v>
      </c>
      <c r="G303" s="1" t="s">
        <v>5618</v>
      </c>
      <c r="H303" s="1" t="s">
        <v>5633</v>
      </c>
      <c r="J303" s="1" t="s">
        <v>1005</v>
      </c>
      <c r="L303" s="1" t="s">
        <v>1436</v>
      </c>
      <c r="N303" s="1" t="s">
        <v>1438</v>
      </c>
      <c r="P303" s="1" t="s">
        <v>4571</v>
      </c>
      <c r="Q303" s="3">
        <v>0</v>
      </c>
      <c r="S303" s="23" t="s">
        <v>5949</v>
      </c>
      <c r="T303" s="23" t="s">
        <v>4931</v>
      </c>
      <c r="U303" s="3">
        <v>34</v>
      </c>
      <c r="W303" s="45" t="str">
        <f>HYPERLINK("http://ictvonline.org/taxonomy/p/taxonomy-history?taxnode_id=201851790","ICTVonline=201851790")</f>
        <v>ICTVonline=201851790</v>
      </c>
      <c r="AA303" s="1">
        <v>201850000</v>
      </c>
      <c r="AB303" s="1">
        <v>34</v>
      </c>
    </row>
    <row r="304" spans="1:28" x14ac:dyDescent="0.15">
      <c r="A304" s="1">
        <v>767</v>
      </c>
      <c r="B304" s="1" t="s">
        <v>7159</v>
      </c>
      <c r="F304" s="1" t="s">
        <v>5617</v>
      </c>
      <c r="G304" s="1" t="s">
        <v>5618</v>
      </c>
      <c r="H304" s="1" t="s">
        <v>5633</v>
      </c>
      <c r="J304" s="1" t="s">
        <v>1005</v>
      </c>
      <c r="L304" s="1" t="s">
        <v>1436</v>
      </c>
      <c r="N304" s="1" t="s">
        <v>1438</v>
      </c>
      <c r="P304" s="1" t="s">
        <v>3607</v>
      </c>
      <c r="Q304" s="3">
        <v>0</v>
      </c>
      <c r="S304" s="23" t="s">
        <v>5949</v>
      </c>
      <c r="T304" s="23" t="s">
        <v>4931</v>
      </c>
      <c r="U304" s="3">
        <v>34</v>
      </c>
      <c r="W304" s="45" t="str">
        <f>HYPERLINK("http://ictvonline.org/taxonomy/p/taxonomy-history?taxnode_id=201851791","ICTVonline=201851791")</f>
        <v>ICTVonline=201851791</v>
      </c>
      <c r="AA304" s="1">
        <v>201850000</v>
      </c>
      <c r="AB304" s="1">
        <v>34</v>
      </c>
    </row>
    <row r="305" spans="1:28" x14ac:dyDescent="0.15">
      <c r="A305" s="1">
        <v>769</v>
      </c>
      <c r="B305" s="1" t="s">
        <v>7159</v>
      </c>
      <c r="F305" s="1" t="s">
        <v>5617</v>
      </c>
      <c r="G305" s="1" t="s">
        <v>5618</v>
      </c>
      <c r="H305" s="1" t="s">
        <v>5633</v>
      </c>
      <c r="J305" s="1" t="s">
        <v>1005</v>
      </c>
      <c r="L305" s="1" t="s">
        <v>1436</v>
      </c>
      <c r="N305" s="1" t="s">
        <v>1438</v>
      </c>
      <c r="P305" s="1" t="s">
        <v>3608</v>
      </c>
      <c r="Q305" s="3">
        <v>0</v>
      </c>
      <c r="S305" s="23" t="s">
        <v>5949</v>
      </c>
      <c r="T305" s="23" t="s">
        <v>4931</v>
      </c>
      <c r="U305" s="3">
        <v>34</v>
      </c>
      <c r="W305" s="45" t="str">
        <f>HYPERLINK("http://ictvonline.org/taxonomy/p/taxonomy-history?taxnode_id=201851792","ICTVonline=201851792")</f>
        <v>ICTVonline=201851792</v>
      </c>
      <c r="AA305" s="1">
        <v>201850000</v>
      </c>
      <c r="AB305" s="1">
        <v>34</v>
      </c>
    </row>
    <row r="306" spans="1:28" x14ac:dyDescent="0.15">
      <c r="A306" s="1">
        <v>771</v>
      </c>
      <c r="B306" s="1" t="s">
        <v>7159</v>
      </c>
      <c r="F306" s="1" t="s">
        <v>5617</v>
      </c>
      <c r="G306" s="1" t="s">
        <v>5618</v>
      </c>
      <c r="H306" s="1" t="s">
        <v>5633</v>
      </c>
      <c r="J306" s="1" t="s">
        <v>1005</v>
      </c>
      <c r="L306" s="1" t="s">
        <v>1436</v>
      </c>
      <c r="N306" s="1" t="s">
        <v>1438</v>
      </c>
      <c r="P306" s="1" t="s">
        <v>3609</v>
      </c>
      <c r="Q306" s="3">
        <v>0</v>
      </c>
      <c r="S306" s="23" t="s">
        <v>5949</v>
      </c>
      <c r="T306" s="23" t="s">
        <v>4931</v>
      </c>
      <c r="U306" s="3">
        <v>34</v>
      </c>
      <c r="W306" s="45" t="str">
        <f>HYPERLINK("http://ictvonline.org/taxonomy/p/taxonomy-history?taxnode_id=201851793","ICTVonline=201851793")</f>
        <v>ICTVonline=201851793</v>
      </c>
      <c r="AA306" s="1">
        <v>201850000</v>
      </c>
      <c r="AB306" s="1">
        <v>34</v>
      </c>
    </row>
    <row r="307" spans="1:28" x14ac:dyDescent="0.15">
      <c r="A307" s="1">
        <v>773</v>
      </c>
      <c r="B307" s="1" t="s">
        <v>7159</v>
      </c>
      <c r="F307" s="1" t="s">
        <v>5617</v>
      </c>
      <c r="G307" s="1" t="s">
        <v>5618</v>
      </c>
      <c r="H307" s="1" t="s">
        <v>5633</v>
      </c>
      <c r="J307" s="1" t="s">
        <v>1005</v>
      </c>
      <c r="L307" s="1" t="s">
        <v>1436</v>
      </c>
      <c r="N307" s="1" t="s">
        <v>1438</v>
      </c>
      <c r="P307" s="1" t="s">
        <v>3610</v>
      </c>
      <c r="Q307" s="3">
        <v>1</v>
      </c>
      <c r="S307" s="23" t="s">
        <v>5949</v>
      </c>
      <c r="T307" s="23" t="s">
        <v>4931</v>
      </c>
      <c r="U307" s="3">
        <v>34</v>
      </c>
      <c r="W307" s="45" t="str">
        <f>HYPERLINK("http://ictvonline.org/taxonomy/p/taxonomy-history?taxnode_id=201851794","ICTVonline=201851794")</f>
        <v>ICTVonline=201851794</v>
      </c>
      <c r="AA307" s="1">
        <v>201850000</v>
      </c>
      <c r="AB307" s="1">
        <v>34</v>
      </c>
    </row>
    <row r="308" spans="1:28" x14ac:dyDescent="0.15">
      <c r="A308" s="1">
        <v>775</v>
      </c>
      <c r="B308" s="1" t="s">
        <v>7159</v>
      </c>
      <c r="F308" s="1" t="s">
        <v>5617</v>
      </c>
      <c r="G308" s="1" t="s">
        <v>5618</v>
      </c>
      <c r="H308" s="1" t="s">
        <v>5633</v>
      </c>
      <c r="J308" s="1" t="s">
        <v>1005</v>
      </c>
      <c r="L308" s="1" t="s">
        <v>1436</v>
      </c>
      <c r="N308" s="1" t="s">
        <v>1438</v>
      </c>
      <c r="P308" s="1" t="s">
        <v>3611</v>
      </c>
      <c r="Q308" s="3">
        <v>0</v>
      </c>
      <c r="S308" s="23" t="s">
        <v>5949</v>
      </c>
      <c r="T308" s="23" t="s">
        <v>4931</v>
      </c>
      <c r="U308" s="3">
        <v>34</v>
      </c>
      <c r="W308" s="45" t="str">
        <f>HYPERLINK("http://ictvonline.org/taxonomy/p/taxonomy-history?taxnode_id=201851795","ICTVonline=201851795")</f>
        <v>ICTVonline=201851795</v>
      </c>
      <c r="AA308" s="1">
        <v>201850000</v>
      </c>
      <c r="AB308" s="1">
        <v>34</v>
      </c>
    </row>
    <row r="309" spans="1:28" x14ac:dyDescent="0.15">
      <c r="A309" s="1">
        <v>777</v>
      </c>
      <c r="B309" s="1" t="s">
        <v>7159</v>
      </c>
      <c r="F309" s="1" t="s">
        <v>5617</v>
      </c>
      <c r="G309" s="1" t="s">
        <v>5618</v>
      </c>
      <c r="H309" s="1" t="s">
        <v>5633</v>
      </c>
      <c r="J309" s="1" t="s">
        <v>1005</v>
      </c>
      <c r="L309" s="1" t="s">
        <v>1436</v>
      </c>
      <c r="N309" s="1" t="s">
        <v>1438</v>
      </c>
      <c r="P309" s="1" t="s">
        <v>4572</v>
      </c>
      <c r="Q309" s="3">
        <v>0</v>
      </c>
      <c r="S309" s="23" t="s">
        <v>5949</v>
      </c>
      <c r="T309" s="23" t="s">
        <v>4931</v>
      </c>
      <c r="U309" s="3">
        <v>34</v>
      </c>
      <c r="W309" s="45" t="str">
        <f>HYPERLINK("http://ictvonline.org/taxonomy/p/taxonomy-history?taxnode_id=201851796","ICTVonline=201851796")</f>
        <v>ICTVonline=201851796</v>
      </c>
      <c r="AA309" s="1">
        <v>201850000</v>
      </c>
      <c r="AB309" s="1">
        <v>34</v>
      </c>
    </row>
    <row r="310" spans="1:28" x14ac:dyDescent="0.15">
      <c r="A310" s="1">
        <v>779</v>
      </c>
      <c r="B310" s="1" t="s">
        <v>7159</v>
      </c>
      <c r="F310" s="1" t="s">
        <v>5617</v>
      </c>
      <c r="G310" s="1" t="s">
        <v>5618</v>
      </c>
      <c r="H310" s="1" t="s">
        <v>5633</v>
      </c>
      <c r="J310" s="1" t="s">
        <v>1005</v>
      </c>
      <c r="L310" s="1" t="s">
        <v>1436</v>
      </c>
      <c r="N310" s="1" t="s">
        <v>1438</v>
      </c>
      <c r="P310" s="1" t="s">
        <v>4573</v>
      </c>
      <c r="Q310" s="3">
        <v>0</v>
      </c>
      <c r="S310" s="23" t="s">
        <v>5949</v>
      </c>
      <c r="T310" s="23" t="s">
        <v>4931</v>
      </c>
      <c r="U310" s="3">
        <v>34</v>
      </c>
      <c r="W310" s="45" t="str">
        <f>HYPERLINK("http://ictvonline.org/taxonomy/p/taxonomy-history?taxnode_id=201851797","ICTVonline=201851797")</f>
        <v>ICTVonline=201851797</v>
      </c>
      <c r="AA310" s="1">
        <v>201850000</v>
      </c>
      <c r="AB310" s="1">
        <v>34</v>
      </c>
    </row>
    <row r="311" spans="1:28" x14ac:dyDescent="0.15">
      <c r="A311" s="1">
        <v>781</v>
      </c>
      <c r="B311" s="1" t="s">
        <v>7159</v>
      </c>
      <c r="F311" s="1" t="s">
        <v>5617</v>
      </c>
      <c r="G311" s="1" t="s">
        <v>5618</v>
      </c>
      <c r="H311" s="1" t="s">
        <v>5633</v>
      </c>
      <c r="J311" s="1" t="s">
        <v>1005</v>
      </c>
      <c r="L311" s="1" t="s">
        <v>1436</v>
      </c>
      <c r="N311" s="1" t="s">
        <v>1438</v>
      </c>
      <c r="P311" s="1" t="s">
        <v>3612</v>
      </c>
      <c r="Q311" s="3">
        <v>0</v>
      </c>
      <c r="S311" s="23" t="s">
        <v>5949</v>
      </c>
      <c r="T311" s="23" t="s">
        <v>4931</v>
      </c>
      <c r="U311" s="3">
        <v>34</v>
      </c>
      <c r="W311" s="45" t="str">
        <f>HYPERLINK("http://ictvonline.org/taxonomy/p/taxonomy-history?taxnode_id=201851798","ICTVonline=201851798")</f>
        <v>ICTVonline=201851798</v>
      </c>
      <c r="AA311" s="1">
        <v>201850000</v>
      </c>
      <c r="AB311" s="1">
        <v>34</v>
      </c>
    </row>
    <row r="312" spans="1:28" x14ac:dyDescent="0.15">
      <c r="A312" s="1">
        <v>783</v>
      </c>
      <c r="B312" s="1" t="s">
        <v>7159</v>
      </c>
      <c r="F312" s="1" t="s">
        <v>5617</v>
      </c>
      <c r="G312" s="1" t="s">
        <v>5618</v>
      </c>
      <c r="H312" s="1" t="s">
        <v>5633</v>
      </c>
      <c r="J312" s="1" t="s">
        <v>1005</v>
      </c>
      <c r="L312" s="1" t="s">
        <v>1436</v>
      </c>
      <c r="N312" s="1" t="s">
        <v>1438</v>
      </c>
      <c r="P312" s="1" t="s">
        <v>4574</v>
      </c>
      <c r="Q312" s="3">
        <v>0</v>
      </c>
      <c r="S312" s="23" t="s">
        <v>5949</v>
      </c>
      <c r="T312" s="23" t="s">
        <v>4931</v>
      </c>
      <c r="U312" s="3">
        <v>34</v>
      </c>
      <c r="W312" s="45" t="str">
        <f>HYPERLINK("http://ictvonline.org/taxonomy/p/taxonomy-history?taxnode_id=201851799","ICTVonline=201851799")</f>
        <v>ICTVonline=201851799</v>
      </c>
      <c r="AA312" s="1">
        <v>201850000</v>
      </c>
      <c r="AB312" s="1">
        <v>34</v>
      </c>
    </row>
    <row r="313" spans="1:28" x14ac:dyDescent="0.15">
      <c r="A313" s="1">
        <v>785</v>
      </c>
      <c r="B313" s="1" t="s">
        <v>7159</v>
      </c>
      <c r="F313" s="1" t="s">
        <v>5617</v>
      </c>
      <c r="G313" s="1" t="s">
        <v>5618</v>
      </c>
      <c r="H313" s="1" t="s">
        <v>5633</v>
      </c>
      <c r="J313" s="1" t="s">
        <v>1005</v>
      </c>
      <c r="L313" s="1" t="s">
        <v>1436</v>
      </c>
      <c r="N313" s="1" t="s">
        <v>1438</v>
      </c>
      <c r="P313" s="1" t="s">
        <v>3613</v>
      </c>
      <c r="Q313" s="3">
        <v>0</v>
      </c>
      <c r="S313" s="23" t="s">
        <v>5949</v>
      </c>
      <c r="T313" s="23" t="s">
        <v>4931</v>
      </c>
      <c r="U313" s="3">
        <v>34</v>
      </c>
      <c r="W313" s="45" t="str">
        <f>HYPERLINK("http://ictvonline.org/taxonomy/p/taxonomy-history?taxnode_id=201851800","ICTVonline=201851800")</f>
        <v>ICTVonline=201851800</v>
      </c>
      <c r="AA313" s="1">
        <v>201850000</v>
      </c>
      <c r="AB313" s="1">
        <v>34</v>
      </c>
    </row>
    <row r="314" spans="1:28" x14ac:dyDescent="0.15">
      <c r="A314" s="1">
        <v>787</v>
      </c>
      <c r="B314" s="1" t="s">
        <v>7159</v>
      </c>
      <c r="F314" s="1" t="s">
        <v>5617</v>
      </c>
      <c r="G314" s="1" t="s">
        <v>5618</v>
      </c>
      <c r="H314" s="1" t="s">
        <v>5633</v>
      </c>
      <c r="J314" s="1" t="s">
        <v>1005</v>
      </c>
      <c r="L314" s="1" t="s">
        <v>1436</v>
      </c>
      <c r="N314" s="1" t="s">
        <v>1438</v>
      </c>
      <c r="P314" s="1" t="s">
        <v>4575</v>
      </c>
      <c r="Q314" s="3">
        <v>0</v>
      </c>
      <c r="S314" s="23" t="s">
        <v>5949</v>
      </c>
      <c r="T314" s="23" t="s">
        <v>4931</v>
      </c>
      <c r="U314" s="3">
        <v>34</v>
      </c>
      <c r="W314" s="45" t="str">
        <f>HYPERLINK("http://ictvonline.org/taxonomy/p/taxonomy-history?taxnode_id=201851801","ICTVonline=201851801")</f>
        <v>ICTVonline=201851801</v>
      </c>
      <c r="AA314" s="1">
        <v>201850000</v>
      </c>
      <c r="AB314" s="1">
        <v>34</v>
      </c>
    </row>
    <row r="315" spans="1:28" x14ac:dyDescent="0.15">
      <c r="A315" s="1">
        <v>789</v>
      </c>
      <c r="B315" s="1" t="s">
        <v>7159</v>
      </c>
      <c r="F315" s="1" t="s">
        <v>5617</v>
      </c>
      <c r="G315" s="1" t="s">
        <v>5618</v>
      </c>
      <c r="H315" s="1" t="s">
        <v>5633</v>
      </c>
      <c r="J315" s="1" t="s">
        <v>1005</v>
      </c>
      <c r="L315" s="1" t="s">
        <v>1436</v>
      </c>
      <c r="N315" s="1" t="s">
        <v>1438</v>
      </c>
      <c r="P315" s="1" t="s">
        <v>3614</v>
      </c>
      <c r="Q315" s="3">
        <v>0</v>
      </c>
      <c r="S315" s="23" t="s">
        <v>5949</v>
      </c>
      <c r="T315" s="23" t="s">
        <v>4931</v>
      </c>
      <c r="U315" s="3">
        <v>34</v>
      </c>
      <c r="W315" s="45" t="str">
        <f>HYPERLINK("http://ictvonline.org/taxonomy/p/taxonomy-history?taxnode_id=201851802","ICTVonline=201851802")</f>
        <v>ICTVonline=201851802</v>
      </c>
      <c r="AA315" s="1">
        <v>201850000</v>
      </c>
      <c r="AB315" s="1">
        <v>34</v>
      </c>
    </row>
    <row r="316" spans="1:28" x14ac:dyDescent="0.15">
      <c r="A316" s="1">
        <v>791</v>
      </c>
      <c r="B316" s="1" t="s">
        <v>7159</v>
      </c>
      <c r="F316" s="1" t="s">
        <v>5617</v>
      </c>
      <c r="G316" s="1" t="s">
        <v>5618</v>
      </c>
      <c r="H316" s="1" t="s">
        <v>5633</v>
      </c>
      <c r="J316" s="1" t="s">
        <v>1005</v>
      </c>
      <c r="L316" s="1" t="s">
        <v>1436</v>
      </c>
      <c r="N316" s="1" t="s">
        <v>1438</v>
      </c>
      <c r="P316" s="1" t="s">
        <v>4576</v>
      </c>
      <c r="Q316" s="3">
        <v>0</v>
      </c>
      <c r="S316" s="23" t="s">
        <v>5949</v>
      </c>
      <c r="T316" s="23" t="s">
        <v>4931</v>
      </c>
      <c r="U316" s="3">
        <v>34</v>
      </c>
      <c r="W316" s="45" t="str">
        <f>HYPERLINK("http://ictvonline.org/taxonomy/p/taxonomy-history?taxnode_id=201851803","ICTVonline=201851803")</f>
        <v>ICTVonline=201851803</v>
      </c>
      <c r="AA316" s="1">
        <v>201850000</v>
      </c>
      <c r="AB316" s="1">
        <v>34</v>
      </c>
    </row>
    <row r="317" spans="1:28" x14ac:dyDescent="0.15">
      <c r="A317" s="1">
        <v>793</v>
      </c>
      <c r="B317" s="1" t="s">
        <v>7159</v>
      </c>
      <c r="F317" s="1" t="s">
        <v>5617</v>
      </c>
      <c r="G317" s="1" t="s">
        <v>5618</v>
      </c>
      <c r="H317" s="1" t="s">
        <v>5633</v>
      </c>
      <c r="J317" s="1" t="s">
        <v>1005</v>
      </c>
      <c r="L317" s="1" t="s">
        <v>1436</v>
      </c>
      <c r="N317" s="1" t="s">
        <v>1438</v>
      </c>
      <c r="P317" s="1" t="s">
        <v>4577</v>
      </c>
      <c r="Q317" s="3">
        <v>0</v>
      </c>
      <c r="S317" s="23" t="s">
        <v>5949</v>
      </c>
      <c r="T317" s="23" t="s">
        <v>4931</v>
      </c>
      <c r="U317" s="3">
        <v>34</v>
      </c>
      <c r="W317" s="45" t="str">
        <f>HYPERLINK("http://ictvonline.org/taxonomy/p/taxonomy-history?taxnode_id=201851804","ICTVonline=201851804")</f>
        <v>ICTVonline=201851804</v>
      </c>
      <c r="AA317" s="1">
        <v>201850000</v>
      </c>
      <c r="AB317" s="1">
        <v>34</v>
      </c>
    </row>
    <row r="318" spans="1:28" x14ac:dyDescent="0.15">
      <c r="A318" s="1">
        <v>796</v>
      </c>
      <c r="B318" s="1" t="s">
        <v>7159</v>
      </c>
      <c r="F318" s="1" t="s">
        <v>5617</v>
      </c>
      <c r="G318" s="1" t="s">
        <v>5618</v>
      </c>
      <c r="H318" s="1" t="s">
        <v>5633</v>
      </c>
      <c r="J318" s="1" t="s">
        <v>1005</v>
      </c>
      <c r="L318" s="1" t="s">
        <v>1436</v>
      </c>
      <c r="P318" s="1" t="s">
        <v>1349</v>
      </c>
      <c r="Q318" s="3">
        <v>0</v>
      </c>
      <c r="S318" s="23" t="s">
        <v>5949</v>
      </c>
      <c r="T318" s="23" t="s">
        <v>4931</v>
      </c>
      <c r="U318" s="3">
        <v>34</v>
      </c>
      <c r="W318" s="45" t="str">
        <f>HYPERLINK("http://ictvonline.org/taxonomy/p/taxonomy-history?taxnode_id=201851785","ICTVonline=201851785")</f>
        <v>ICTVonline=201851785</v>
      </c>
      <c r="AA318" s="1">
        <v>201850000</v>
      </c>
      <c r="AB318" s="1">
        <v>34</v>
      </c>
    </row>
    <row r="319" spans="1:28" x14ac:dyDescent="0.15">
      <c r="A319" s="1">
        <v>801</v>
      </c>
      <c r="B319" s="1" t="s">
        <v>7159</v>
      </c>
      <c r="F319" s="1" t="s">
        <v>5617</v>
      </c>
      <c r="G319" s="1" t="s">
        <v>5618</v>
      </c>
      <c r="H319" s="1" t="s">
        <v>5633</v>
      </c>
      <c r="J319" s="1" t="s">
        <v>1005</v>
      </c>
      <c r="L319" s="1" t="s">
        <v>3615</v>
      </c>
      <c r="N319" s="1" t="s">
        <v>3616</v>
      </c>
      <c r="P319" s="1" t="s">
        <v>3617</v>
      </c>
      <c r="Q319" s="3">
        <v>1</v>
      </c>
      <c r="S319" s="23" t="s">
        <v>5949</v>
      </c>
      <c r="T319" s="23" t="s">
        <v>4931</v>
      </c>
      <c r="U319" s="3">
        <v>34</v>
      </c>
      <c r="W319" s="45" t="str">
        <f>HYPERLINK("http://ictvonline.org/taxonomy/p/taxonomy-history?taxnode_id=201851808","ICTVonline=201851808")</f>
        <v>ICTVonline=201851808</v>
      </c>
      <c r="AA319" s="1">
        <v>201850000</v>
      </c>
      <c r="AB319" s="1">
        <v>34</v>
      </c>
    </row>
    <row r="320" spans="1:28" x14ac:dyDescent="0.15">
      <c r="A320" s="1">
        <v>807</v>
      </c>
      <c r="B320" s="1" t="s">
        <v>7159</v>
      </c>
      <c r="F320" s="1" t="s">
        <v>5617</v>
      </c>
      <c r="G320" s="1" t="s">
        <v>5618</v>
      </c>
      <c r="H320" s="1" t="s">
        <v>5633</v>
      </c>
      <c r="J320" s="1" t="s">
        <v>1005</v>
      </c>
      <c r="L320" s="1" t="s">
        <v>5695</v>
      </c>
      <c r="N320" s="1" t="s">
        <v>3618</v>
      </c>
      <c r="P320" s="1" t="s">
        <v>5696</v>
      </c>
      <c r="Q320" s="3">
        <v>0</v>
      </c>
      <c r="S320" s="23" t="s">
        <v>5949</v>
      </c>
      <c r="T320" s="23" t="s">
        <v>4931</v>
      </c>
      <c r="U320" s="3">
        <v>34</v>
      </c>
      <c r="W320" s="45" t="str">
        <f>HYPERLINK("http://ictvonline.org/taxonomy/p/taxonomy-history?taxnode_id=201856262","ICTVonline=201856262")</f>
        <v>ICTVonline=201856262</v>
      </c>
      <c r="AA320" s="1">
        <v>201850000</v>
      </c>
      <c r="AB320" s="1">
        <v>34</v>
      </c>
    </row>
    <row r="321" spans="1:28" x14ac:dyDescent="0.15">
      <c r="A321" s="1">
        <v>809</v>
      </c>
      <c r="B321" s="1" t="s">
        <v>7159</v>
      </c>
      <c r="F321" s="1" t="s">
        <v>5617</v>
      </c>
      <c r="G321" s="1" t="s">
        <v>5618</v>
      </c>
      <c r="H321" s="1" t="s">
        <v>5633</v>
      </c>
      <c r="J321" s="1" t="s">
        <v>1005</v>
      </c>
      <c r="L321" s="1" t="s">
        <v>5695</v>
      </c>
      <c r="N321" s="1" t="s">
        <v>3618</v>
      </c>
      <c r="P321" s="1" t="s">
        <v>5697</v>
      </c>
      <c r="Q321" s="3">
        <v>0</v>
      </c>
      <c r="S321" s="23" t="s">
        <v>5949</v>
      </c>
      <c r="T321" s="23" t="s">
        <v>4931</v>
      </c>
      <c r="U321" s="3">
        <v>34</v>
      </c>
      <c r="W321" s="45" t="str">
        <f>HYPERLINK("http://ictvonline.org/taxonomy/p/taxonomy-history?taxnode_id=201856265","ICTVonline=201856265")</f>
        <v>ICTVonline=201856265</v>
      </c>
      <c r="AA321" s="1">
        <v>201850000</v>
      </c>
      <c r="AB321" s="1">
        <v>34</v>
      </c>
    </row>
    <row r="322" spans="1:28" x14ac:dyDescent="0.15">
      <c r="A322" s="1">
        <v>811</v>
      </c>
      <c r="B322" s="1" t="s">
        <v>7159</v>
      </c>
      <c r="F322" s="1" t="s">
        <v>5617</v>
      </c>
      <c r="G322" s="1" t="s">
        <v>5618</v>
      </c>
      <c r="H322" s="1" t="s">
        <v>5633</v>
      </c>
      <c r="J322" s="1" t="s">
        <v>1005</v>
      </c>
      <c r="L322" s="1" t="s">
        <v>5695</v>
      </c>
      <c r="N322" s="1" t="s">
        <v>3618</v>
      </c>
      <c r="P322" s="1" t="s">
        <v>5698</v>
      </c>
      <c r="Q322" s="3">
        <v>0</v>
      </c>
      <c r="S322" s="23" t="s">
        <v>5949</v>
      </c>
      <c r="T322" s="23" t="s">
        <v>4931</v>
      </c>
      <c r="U322" s="3">
        <v>34</v>
      </c>
      <c r="W322" s="45" t="str">
        <f>HYPERLINK("http://ictvonline.org/taxonomy/p/taxonomy-history?taxnode_id=201856263","ICTVonline=201856263")</f>
        <v>ICTVonline=201856263</v>
      </c>
      <c r="AA322" s="1">
        <v>201850000</v>
      </c>
      <c r="AB322" s="1">
        <v>34</v>
      </c>
    </row>
    <row r="323" spans="1:28" x14ac:dyDescent="0.15">
      <c r="A323" s="1">
        <v>813</v>
      </c>
      <c r="B323" s="1" t="s">
        <v>7159</v>
      </c>
      <c r="F323" s="1" t="s">
        <v>5617</v>
      </c>
      <c r="G323" s="1" t="s">
        <v>5618</v>
      </c>
      <c r="H323" s="1" t="s">
        <v>5633</v>
      </c>
      <c r="J323" s="1" t="s">
        <v>1005</v>
      </c>
      <c r="L323" s="1" t="s">
        <v>5695</v>
      </c>
      <c r="N323" s="1" t="s">
        <v>3618</v>
      </c>
      <c r="P323" s="1" t="s">
        <v>5699</v>
      </c>
      <c r="Q323" s="3">
        <v>0</v>
      </c>
      <c r="S323" s="23" t="s">
        <v>5949</v>
      </c>
      <c r="T323" s="23" t="s">
        <v>4931</v>
      </c>
      <c r="U323" s="3">
        <v>34</v>
      </c>
      <c r="W323" s="45" t="str">
        <f>HYPERLINK("http://ictvonline.org/taxonomy/p/taxonomy-history?taxnode_id=201856261","ICTVonline=201856261")</f>
        <v>ICTVonline=201856261</v>
      </c>
      <c r="AA323" s="1">
        <v>201850000</v>
      </c>
      <c r="AB323" s="1">
        <v>34</v>
      </c>
    </row>
    <row r="324" spans="1:28" x14ac:dyDescent="0.15">
      <c r="A324" s="1">
        <v>815</v>
      </c>
      <c r="B324" s="1" t="s">
        <v>7159</v>
      </c>
      <c r="F324" s="1" t="s">
        <v>5617</v>
      </c>
      <c r="G324" s="1" t="s">
        <v>5618</v>
      </c>
      <c r="H324" s="1" t="s">
        <v>5633</v>
      </c>
      <c r="J324" s="1" t="s">
        <v>1005</v>
      </c>
      <c r="L324" s="1" t="s">
        <v>5695</v>
      </c>
      <c r="N324" s="1" t="s">
        <v>3618</v>
      </c>
      <c r="P324" s="1" t="s">
        <v>5700</v>
      </c>
      <c r="Q324" s="3">
        <v>0</v>
      </c>
      <c r="S324" s="23" t="s">
        <v>5949</v>
      </c>
      <c r="T324" s="23" t="s">
        <v>4931</v>
      </c>
      <c r="U324" s="3">
        <v>34</v>
      </c>
      <c r="W324" s="45" t="str">
        <f>HYPERLINK("http://ictvonline.org/taxonomy/p/taxonomy-history?taxnode_id=201856260","ICTVonline=201856260")</f>
        <v>ICTVonline=201856260</v>
      </c>
      <c r="AA324" s="1">
        <v>201850000</v>
      </c>
      <c r="AB324" s="1">
        <v>34</v>
      </c>
    </row>
    <row r="325" spans="1:28" x14ac:dyDescent="0.15">
      <c r="A325" s="1">
        <v>817</v>
      </c>
      <c r="B325" s="1" t="s">
        <v>7159</v>
      </c>
      <c r="F325" s="1" t="s">
        <v>5617</v>
      </c>
      <c r="G325" s="1" t="s">
        <v>5618</v>
      </c>
      <c r="H325" s="1" t="s">
        <v>5633</v>
      </c>
      <c r="J325" s="1" t="s">
        <v>1005</v>
      </c>
      <c r="L325" s="1" t="s">
        <v>5695</v>
      </c>
      <c r="N325" s="1" t="s">
        <v>3618</v>
      </c>
      <c r="P325" s="1" t="s">
        <v>5701</v>
      </c>
      <c r="Q325" s="3">
        <v>0</v>
      </c>
      <c r="S325" s="23" t="s">
        <v>5949</v>
      </c>
      <c r="T325" s="23" t="s">
        <v>4931</v>
      </c>
      <c r="U325" s="3">
        <v>34</v>
      </c>
      <c r="W325" s="45" t="str">
        <f>HYPERLINK("http://ictvonline.org/taxonomy/p/taxonomy-history?taxnode_id=201856264","ICTVonline=201856264")</f>
        <v>ICTVonline=201856264</v>
      </c>
      <c r="AA325" s="1">
        <v>201850000</v>
      </c>
      <c r="AB325" s="1">
        <v>34</v>
      </c>
    </row>
    <row r="326" spans="1:28" x14ac:dyDescent="0.15">
      <c r="A326" s="1">
        <v>819</v>
      </c>
      <c r="B326" s="1" t="s">
        <v>7159</v>
      </c>
      <c r="F326" s="1" t="s">
        <v>5617</v>
      </c>
      <c r="G326" s="1" t="s">
        <v>5618</v>
      </c>
      <c r="H326" s="1" t="s">
        <v>5633</v>
      </c>
      <c r="J326" s="1" t="s">
        <v>1005</v>
      </c>
      <c r="L326" s="1" t="s">
        <v>5695</v>
      </c>
      <c r="N326" s="1" t="s">
        <v>3618</v>
      </c>
      <c r="P326" s="1" t="s">
        <v>3619</v>
      </c>
      <c r="Q326" s="3">
        <v>1</v>
      </c>
      <c r="S326" s="23" t="s">
        <v>5949</v>
      </c>
      <c r="T326" s="23" t="s">
        <v>4931</v>
      </c>
      <c r="U326" s="3">
        <v>34</v>
      </c>
      <c r="W326" s="45" t="str">
        <f>HYPERLINK("http://ictvonline.org/taxonomy/p/taxonomy-history?taxnode_id=201851812","ICTVonline=201851812")</f>
        <v>ICTVonline=201851812</v>
      </c>
      <c r="AA326" s="1">
        <v>201850000</v>
      </c>
      <c r="AB326" s="1">
        <v>34</v>
      </c>
    </row>
    <row r="327" spans="1:28" x14ac:dyDescent="0.15">
      <c r="A327" s="1">
        <v>829</v>
      </c>
      <c r="B327" s="1" t="s">
        <v>7159</v>
      </c>
      <c r="F327" s="1" t="s">
        <v>5617</v>
      </c>
      <c r="G327" s="1" t="s">
        <v>5618</v>
      </c>
      <c r="H327" s="1" t="s">
        <v>5702</v>
      </c>
      <c r="J327" s="1" t="s">
        <v>5703</v>
      </c>
      <c r="L327" s="1" t="s">
        <v>5704</v>
      </c>
      <c r="N327" s="1" t="s">
        <v>5705</v>
      </c>
      <c r="P327" s="1" t="s">
        <v>5706</v>
      </c>
      <c r="Q327" s="3">
        <v>1</v>
      </c>
      <c r="S327" s="23" t="s">
        <v>5949</v>
      </c>
      <c r="T327" s="23" t="s">
        <v>4931</v>
      </c>
      <c r="U327" s="3">
        <v>34</v>
      </c>
      <c r="W327" s="45" t="str">
        <f>HYPERLINK("http://ictvonline.org/taxonomy/p/taxonomy-history?taxnode_id=201856075","ICTVonline=201856075")</f>
        <v>ICTVonline=201856075</v>
      </c>
      <c r="AA327" s="1">
        <v>201850000</v>
      </c>
      <c r="AB327" s="1">
        <v>34</v>
      </c>
    </row>
    <row r="328" spans="1:28" x14ac:dyDescent="0.15">
      <c r="A328" s="1">
        <v>831</v>
      </c>
      <c r="B328" s="1" t="s">
        <v>7159</v>
      </c>
      <c r="F328" s="1" t="s">
        <v>5617</v>
      </c>
      <c r="G328" s="1" t="s">
        <v>5618</v>
      </c>
      <c r="H328" s="1" t="s">
        <v>5702</v>
      </c>
      <c r="J328" s="1" t="s">
        <v>5703</v>
      </c>
      <c r="L328" s="1" t="s">
        <v>5704</v>
      </c>
      <c r="N328" s="1" t="s">
        <v>5705</v>
      </c>
      <c r="P328" s="1" t="s">
        <v>5707</v>
      </c>
      <c r="Q328" s="3">
        <v>0</v>
      </c>
      <c r="S328" s="23" t="s">
        <v>5949</v>
      </c>
      <c r="T328" s="23" t="s">
        <v>4931</v>
      </c>
      <c r="U328" s="3">
        <v>34</v>
      </c>
      <c r="W328" s="45" t="str">
        <f>HYPERLINK("http://ictvonline.org/taxonomy/p/taxonomy-history?taxnode_id=201856076","ICTVonline=201856076")</f>
        <v>ICTVonline=201856076</v>
      </c>
      <c r="AA328" s="1">
        <v>201850000</v>
      </c>
      <c r="AB328" s="1">
        <v>34</v>
      </c>
    </row>
    <row r="329" spans="1:28" x14ac:dyDescent="0.15">
      <c r="A329" s="1">
        <v>843</v>
      </c>
      <c r="B329" s="1" t="s">
        <v>7159</v>
      </c>
      <c r="F329" s="1" t="s">
        <v>5617</v>
      </c>
      <c r="G329" s="1" t="s">
        <v>5708</v>
      </c>
      <c r="H329" s="1" t="s">
        <v>5709</v>
      </c>
      <c r="J329" s="1" t="s">
        <v>4108</v>
      </c>
      <c r="L329" s="1" t="s">
        <v>1065</v>
      </c>
      <c r="N329" s="1" t="s">
        <v>6040</v>
      </c>
      <c r="P329" s="1" t="s">
        <v>6041</v>
      </c>
      <c r="Q329" s="3">
        <v>0</v>
      </c>
      <c r="S329" s="23" t="s">
        <v>5949</v>
      </c>
      <c r="T329" s="23" t="s">
        <v>4929</v>
      </c>
      <c r="U329" s="3">
        <v>34</v>
      </c>
      <c r="V329" s="3" t="s">
        <v>6042</v>
      </c>
      <c r="W329" s="45" t="str">
        <f>HYPERLINK("http://ictvonline.org/taxonomy/p/taxonomy-history?taxnode_id=201856321","ICTVonline=201856321")</f>
        <v>ICTVonline=201856321</v>
      </c>
      <c r="AA329" s="1">
        <v>201850000</v>
      </c>
      <c r="AB329" s="1">
        <v>34</v>
      </c>
    </row>
    <row r="330" spans="1:28" x14ac:dyDescent="0.15">
      <c r="A330" s="1">
        <v>845</v>
      </c>
      <c r="B330" s="1" t="s">
        <v>7159</v>
      </c>
      <c r="F330" s="1" t="s">
        <v>5617</v>
      </c>
      <c r="G330" s="1" t="s">
        <v>5708</v>
      </c>
      <c r="H330" s="1" t="s">
        <v>5709</v>
      </c>
      <c r="J330" s="1" t="s">
        <v>4108</v>
      </c>
      <c r="L330" s="1" t="s">
        <v>1065</v>
      </c>
      <c r="N330" s="1" t="s">
        <v>6040</v>
      </c>
      <c r="P330" s="1" t="s">
        <v>6043</v>
      </c>
      <c r="Q330" s="3">
        <v>1</v>
      </c>
      <c r="S330" s="23" t="s">
        <v>5949</v>
      </c>
      <c r="T330" s="23" t="s">
        <v>4929</v>
      </c>
      <c r="U330" s="3">
        <v>34</v>
      </c>
      <c r="V330" s="3" t="s">
        <v>6042</v>
      </c>
      <c r="W330" s="45" t="str">
        <f>HYPERLINK("http://ictvonline.org/taxonomy/p/taxonomy-history?taxnode_id=201856320","ICTVonline=201856320")</f>
        <v>ICTVonline=201856320</v>
      </c>
      <c r="AA330" s="1">
        <v>201850000</v>
      </c>
      <c r="AB330" s="1">
        <v>34</v>
      </c>
    </row>
    <row r="331" spans="1:28" x14ac:dyDescent="0.15">
      <c r="A331" s="1">
        <v>849</v>
      </c>
      <c r="B331" s="1" t="s">
        <v>7159</v>
      </c>
      <c r="F331" s="1" t="s">
        <v>5617</v>
      </c>
      <c r="G331" s="1" t="s">
        <v>5708</v>
      </c>
      <c r="H331" s="1" t="s">
        <v>5709</v>
      </c>
      <c r="J331" s="1" t="s">
        <v>4108</v>
      </c>
      <c r="L331" s="1" t="s">
        <v>1065</v>
      </c>
      <c r="N331" s="1" t="s">
        <v>5303</v>
      </c>
      <c r="P331" s="1" t="s">
        <v>5304</v>
      </c>
      <c r="Q331" s="3">
        <v>1</v>
      </c>
      <c r="S331" s="23" t="s">
        <v>5949</v>
      </c>
      <c r="T331" s="23" t="s">
        <v>4931</v>
      </c>
      <c r="U331" s="3">
        <v>34</v>
      </c>
      <c r="W331" s="45" t="str">
        <f>HYPERLINK("http://ictvonline.org/taxonomy/p/taxonomy-history?taxnode_id=201855740","ICTVonline=201855740")</f>
        <v>ICTVonline=201855740</v>
      </c>
      <c r="AA331" s="1">
        <v>201850000</v>
      </c>
      <c r="AB331" s="1">
        <v>34</v>
      </c>
    </row>
    <row r="332" spans="1:28" x14ac:dyDescent="0.15">
      <c r="A332" s="1">
        <v>853</v>
      </c>
      <c r="B332" s="1" t="s">
        <v>7159</v>
      </c>
      <c r="F332" s="1" t="s">
        <v>5617</v>
      </c>
      <c r="G332" s="1" t="s">
        <v>5708</v>
      </c>
      <c r="H332" s="1" t="s">
        <v>5709</v>
      </c>
      <c r="J332" s="1" t="s">
        <v>4108</v>
      </c>
      <c r="L332" s="1" t="s">
        <v>1065</v>
      </c>
      <c r="N332" s="1" t="s">
        <v>2648</v>
      </c>
      <c r="P332" s="1" t="s">
        <v>2649</v>
      </c>
      <c r="Q332" s="3">
        <v>0</v>
      </c>
      <c r="S332" s="23" t="s">
        <v>5949</v>
      </c>
      <c r="T332" s="23" t="s">
        <v>4931</v>
      </c>
      <c r="U332" s="3">
        <v>34</v>
      </c>
      <c r="W332" s="45" t="str">
        <f>HYPERLINK("http://ictvonline.org/taxonomy/p/taxonomy-history?taxnode_id=201852570","ICTVonline=201852570")</f>
        <v>ICTVonline=201852570</v>
      </c>
      <c r="AA332" s="1">
        <v>201850000</v>
      </c>
      <c r="AB332" s="1">
        <v>34</v>
      </c>
    </row>
    <row r="333" spans="1:28" x14ac:dyDescent="0.15">
      <c r="A333" s="1">
        <v>855</v>
      </c>
      <c r="B333" s="1" t="s">
        <v>7159</v>
      </c>
      <c r="F333" s="1" t="s">
        <v>5617</v>
      </c>
      <c r="G333" s="1" t="s">
        <v>5708</v>
      </c>
      <c r="H333" s="1" t="s">
        <v>5709</v>
      </c>
      <c r="J333" s="1" t="s">
        <v>4108</v>
      </c>
      <c r="L333" s="1" t="s">
        <v>1065</v>
      </c>
      <c r="N333" s="1" t="s">
        <v>2648</v>
      </c>
      <c r="P333" s="1" t="s">
        <v>5305</v>
      </c>
      <c r="Q333" s="3">
        <v>0</v>
      </c>
      <c r="S333" s="23" t="s">
        <v>5949</v>
      </c>
      <c r="T333" s="23" t="s">
        <v>4931</v>
      </c>
      <c r="U333" s="3">
        <v>34</v>
      </c>
      <c r="W333" s="45" t="str">
        <f>HYPERLINK("http://ictvonline.org/taxonomy/p/taxonomy-history?taxnode_id=201852579","ICTVonline=201852579")</f>
        <v>ICTVonline=201852579</v>
      </c>
      <c r="AA333" s="1">
        <v>201850000</v>
      </c>
      <c r="AB333" s="1">
        <v>34</v>
      </c>
    </row>
    <row r="334" spans="1:28" x14ac:dyDescent="0.15">
      <c r="A334" s="1">
        <v>857</v>
      </c>
      <c r="B334" s="1" t="s">
        <v>7159</v>
      </c>
      <c r="F334" s="1" t="s">
        <v>5617</v>
      </c>
      <c r="G334" s="1" t="s">
        <v>5708</v>
      </c>
      <c r="H334" s="1" t="s">
        <v>5709</v>
      </c>
      <c r="J334" s="1" t="s">
        <v>4108</v>
      </c>
      <c r="L334" s="1" t="s">
        <v>1065</v>
      </c>
      <c r="N334" s="1" t="s">
        <v>2648</v>
      </c>
      <c r="P334" s="1" t="s">
        <v>2650</v>
      </c>
      <c r="Q334" s="3">
        <v>0</v>
      </c>
      <c r="S334" s="23" t="s">
        <v>5949</v>
      </c>
      <c r="T334" s="23" t="s">
        <v>4931</v>
      </c>
      <c r="U334" s="3">
        <v>34</v>
      </c>
      <c r="W334" s="45" t="str">
        <f>HYPERLINK("http://ictvonline.org/taxonomy/p/taxonomy-history?taxnode_id=201852572","ICTVonline=201852572")</f>
        <v>ICTVonline=201852572</v>
      </c>
      <c r="AA334" s="1">
        <v>201850000</v>
      </c>
      <c r="AB334" s="1">
        <v>34</v>
      </c>
    </row>
    <row r="335" spans="1:28" x14ac:dyDescent="0.15">
      <c r="A335" s="1">
        <v>859</v>
      </c>
      <c r="B335" s="1" t="s">
        <v>7159</v>
      </c>
      <c r="F335" s="1" t="s">
        <v>5617</v>
      </c>
      <c r="G335" s="1" t="s">
        <v>5708</v>
      </c>
      <c r="H335" s="1" t="s">
        <v>5709</v>
      </c>
      <c r="J335" s="1" t="s">
        <v>4108</v>
      </c>
      <c r="L335" s="1" t="s">
        <v>1065</v>
      </c>
      <c r="N335" s="1" t="s">
        <v>2648</v>
      </c>
      <c r="P335" s="1" t="s">
        <v>5306</v>
      </c>
      <c r="Q335" s="3">
        <v>0</v>
      </c>
      <c r="S335" s="23" t="s">
        <v>5949</v>
      </c>
      <c r="T335" s="23" t="s">
        <v>4931</v>
      </c>
      <c r="U335" s="3">
        <v>34</v>
      </c>
      <c r="W335" s="45" t="str">
        <f>HYPERLINK("http://ictvonline.org/taxonomy/p/taxonomy-history?taxnode_id=201852597","ICTVonline=201852597")</f>
        <v>ICTVonline=201852597</v>
      </c>
      <c r="AA335" s="1">
        <v>201850000</v>
      </c>
      <c r="AB335" s="1">
        <v>34</v>
      </c>
    </row>
    <row r="336" spans="1:28" x14ac:dyDescent="0.15">
      <c r="A336" s="1">
        <v>861</v>
      </c>
      <c r="B336" s="1" t="s">
        <v>7159</v>
      </c>
      <c r="F336" s="1" t="s">
        <v>5617</v>
      </c>
      <c r="G336" s="1" t="s">
        <v>5708</v>
      </c>
      <c r="H336" s="1" t="s">
        <v>5709</v>
      </c>
      <c r="J336" s="1" t="s">
        <v>4108</v>
      </c>
      <c r="L336" s="1" t="s">
        <v>1065</v>
      </c>
      <c r="N336" s="1" t="s">
        <v>2648</v>
      </c>
      <c r="P336" s="1" t="s">
        <v>5307</v>
      </c>
      <c r="Q336" s="3">
        <v>0</v>
      </c>
      <c r="S336" s="23" t="s">
        <v>5949</v>
      </c>
      <c r="T336" s="23" t="s">
        <v>4931</v>
      </c>
      <c r="U336" s="3">
        <v>34</v>
      </c>
      <c r="W336" s="45" t="str">
        <f>HYPERLINK("http://ictvonline.org/taxonomy/p/taxonomy-history?taxnode_id=201852595","ICTVonline=201852595")</f>
        <v>ICTVonline=201852595</v>
      </c>
      <c r="AA336" s="1">
        <v>201850000</v>
      </c>
      <c r="AB336" s="1">
        <v>34</v>
      </c>
    </row>
    <row r="337" spans="1:28" x14ac:dyDescent="0.15">
      <c r="A337" s="1">
        <v>863</v>
      </c>
      <c r="B337" s="1" t="s">
        <v>7159</v>
      </c>
      <c r="F337" s="1" t="s">
        <v>5617</v>
      </c>
      <c r="G337" s="1" t="s">
        <v>5708</v>
      </c>
      <c r="H337" s="1" t="s">
        <v>5709</v>
      </c>
      <c r="J337" s="1" t="s">
        <v>4108</v>
      </c>
      <c r="L337" s="1" t="s">
        <v>1065</v>
      </c>
      <c r="N337" s="1" t="s">
        <v>2648</v>
      </c>
      <c r="P337" s="1" t="s">
        <v>2651</v>
      </c>
      <c r="Q337" s="3">
        <v>0</v>
      </c>
      <c r="S337" s="23" t="s">
        <v>5949</v>
      </c>
      <c r="T337" s="23" t="s">
        <v>4931</v>
      </c>
      <c r="U337" s="3">
        <v>34</v>
      </c>
      <c r="W337" s="45" t="str">
        <f>HYPERLINK("http://ictvonline.org/taxonomy/p/taxonomy-history?taxnode_id=201852573","ICTVonline=201852573")</f>
        <v>ICTVonline=201852573</v>
      </c>
      <c r="AA337" s="1">
        <v>201850000</v>
      </c>
      <c r="AB337" s="1">
        <v>34</v>
      </c>
    </row>
    <row r="338" spans="1:28" x14ac:dyDescent="0.15">
      <c r="A338" s="1">
        <v>865</v>
      </c>
      <c r="B338" s="1" t="s">
        <v>7159</v>
      </c>
      <c r="F338" s="1" t="s">
        <v>5617</v>
      </c>
      <c r="G338" s="1" t="s">
        <v>5708</v>
      </c>
      <c r="H338" s="1" t="s">
        <v>5709</v>
      </c>
      <c r="J338" s="1" t="s">
        <v>4108</v>
      </c>
      <c r="L338" s="1" t="s">
        <v>1065</v>
      </c>
      <c r="N338" s="1" t="s">
        <v>2648</v>
      </c>
      <c r="P338" s="1" t="s">
        <v>2652</v>
      </c>
      <c r="Q338" s="3">
        <v>0</v>
      </c>
      <c r="S338" s="23" t="s">
        <v>5949</v>
      </c>
      <c r="T338" s="23" t="s">
        <v>4931</v>
      </c>
      <c r="U338" s="3">
        <v>34</v>
      </c>
      <c r="W338" s="45" t="str">
        <f>HYPERLINK("http://ictvonline.org/taxonomy/p/taxonomy-history?taxnode_id=201852574","ICTVonline=201852574")</f>
        <v>ICTVonline=201852574</v>
      </c>
      <c r="AA338" s="1">
        <v>201850000</v>
      </c>
      <c r="AB338" s="1">
        <v>34</v>
      </c>
    </row>
    <row r="339" spans="1:28" x14ac:dyDescent="0.15">
      <c r="A339" s="1">
        <v>867</v>
      </c>
      <c r="B339" s="1" t="s">
        <v>7159</v>
      </c>
      <c r="F339" s="1" t="s">
        <v>5617</v>
      </c>
      <c r="G339" s="1" t="s">
        <v>5708</v>
      </c>
      <c r="H339" s="1" t="s">
        <v>5709</v>
      </c>
      <c r="J339" s="1" t="s">
        <v>4108</v>
      </c>
      <c r="L339" s="1" t="s">
        <v>1065</v>
      </c>
      <c r="N339" s="1" t="s">
        <v>2648</v>
      </c>
      <c r="P339" s="1" t="s">
        <v>2653</v>
      </c>
      <c r="Q339" s="3">
        <v>0</v>
      </c>
      <c r="S339" s="23" t="s">
        <v>5949</v>
      </c>
      <c r="T339" s="23" t="s">
        <v>4931</v>
      </c>
      <c r="U339" s="3">
        <v>34</v>
      </c>
      <c r="W339" s="45" t="str">
        <f>HYPERLINK("http://ictvonline.org/taxonomy/p/taxonomy-history?taxnode_id=201852575","ICTVonline=201852575")</f>
        <v>ICTVonline=201852575</v>
      </c>
      <c r="AA339" s="1">
        <v>201850000</v>
      </c>
      <c r="AB339" s="1">
        <v>34</v>
      </c>
    </row>
    <row r="340" spans="1:28" x14ac:dyDescent="0.15">
      <c r="A340" s="1">
        <v>869</v>
      </c>
      <c r="B340" s="1" t="s">
        <v>7159</v>
      </c>
      <c r="F340" s="1" t="s">
        <v>5617</v>
      </c>
      <c r="G340" s="1" t="s">
        <v>5708</v>
      </c>
      <c r="H340" s="1" t="s">
        <v>5709</v>
      </c>
      <c r="J340" s="1" t="s">
        <v>4108</v>
      </c>
      <c r="L340" s="1" t="s">
        <v>1065</v>
      </c>
      <c r="N340" s="1" t="s">
        <v>2648</v>
      </c>
      <c r="P340" s="1" t="s">
        <v>3682</v>
      </c>
      <c r="Q340" s="3">
        <v>0</v>
      </c>
      <c r="S340" s="23" t="s">
        <v>5949</v>
      </c>
      <c r="T340" s="23" t="s">
        <v>4931</v>
      </c>
      <c r="U340" s="3">
        <v>34</v>
      </c>
      <c r="W340" s="45" t="str">
        <f>HYPERLINK("http://ictvonline.org/taxonomy/p/taxonomy-history?taxnode_id=201852576","ICTVonline=201852576")</f>
        <v>ICTVonline=201852576</v>
      </c>
      <c r="AA340" s="1">
        <v>201850000</v>
      </c>
      <c r="AB340" s="1">
        <v>34</v>
      </c>
    </row>
    <row r="341" spans="1:28" x14ac:dyDescent="0.15">
      <c r="A341" s="1">
        <v>871</v>
      </c>
      <c r="B341" s="1" t="s">
        <v>7159</v>
      </c>
      <c r="F341" s="1" t="s">
        <v>5617</v>
      </c>
      <c r="G341" s="1" t="s">
        <v>5708</v>
      </c>
      <c r="H341" s="1" t="s">
        <v>5709</v>
      </c>
      <c r="J341" s="1" t="s">
        <v>4108</v>
      </c>
      <c r="L341" s="1" t="s">
        <v>1065</v>
      </c>
      <c r="N341" s="1" t="s">
        <v>2648</v>
      </c>
      <c r="P341" s="1" t="s">
        <v>2654</v>
      </c>
      <c r="Q341" s="3">
        <v>0</v>
      </c>
      <c r="S341" s="23" t="s">
        <v>5949</v>
      </c>
      <c r="T341" s="23" t="s">
        <v>4931</v>
      </c>
      <c r="U341" s="3">
        <v>34</v>
      </c>
      <c r="W341" s="45" t="str">
        <f>HYPERLINK("http://ictvonline.org/taxonomy/p/taxonomy-history?taxnode_id=201852577","ICTVonline=201852577")</f>
        <v>ICTVonline=201852577</v>
      </c>
      <c r="AA341" s="1">
        <v>201850000</v>
      </c>
      <c r="AB341" s="1">
        <v>34</v>
      </c>
    </row>
    <row r="342" spans="1:28" x14ac:dyDescent="0.15">
      <c r="A342" s="1">
        <v>873</v>
      </c>
      <c r="B342" s="1" t="s">
        <v>7159</v>
      </c>
      <c r="F342" s="1" t="s">
        <v>5617</v>
      </c>
      <c r="G342" s="1" t="s">
        <v>5708</v>
      </c>
      <c r="H342" s="1" t="s">
        <v>5709</v>
      </c>
      <c r="J342" s="1" t="s">
        <v>4108</v>
      </c>
      <c r="L342" s="1" t="s">
        <v>1065</v>
      </c>
      <c r="N342" s="1" t="s">
        <v>2648</v>
      </c>
      <c r="P342" s="1" t="s">
        <v>2655</v>
      </c>
      <c r="Q342" s="3">
        <v>0</v>
      </c>
      <c r="S342" s="23" t="s">
        <v>5949</v>
      </c>
      <c r="T342" s="23" t="s">
        <v>4931</v>
      </c>
      <c r="U342" s="3">
        <v>34</v>
      </c>
      <c r="W342" s="45" t="str">
        <f>HYPERLINK("http://ictvonline.org/taxonomy/p/taxonomy-history?taxnode_id=201852578","ICTVonline=201852578")</f>
        <v>ICTVonline=201852578</v>
      </c>
      <c r="AA342" s="1">
        <v>201850000</v>
      </c>
      <c r="AB342" s="1">
        <v>34</v>
      </c>
    </row>
    <row r="343" spans="1:28" x14ac:dyDescent="0.15">
      <c r="A343" s="1">
        <v>875</v>
      </c>
      <c r="B343" s="1" t="s">
        <v>7159</v>
      </c>
      <c r="F343" s="1" t="s">
        <v>5617</v>
      </c>
      <c r="G343" s="1" t="s">
        <v>5708</v>
      </c>
      <c r="H343" s="1" t="s">
        <v>5709</v>
      </c>
      <c r="J343" s="1" t="s">
        <v>4108</v>
      </c>
      <c r="L343" s="1" t="s">
        <v>1065</v>
      </c>
      <c r="N343" s="1" t="s">
        <v>2648</v>
      </c>
      <c r="P343" s="1" t="s">
        <v>2656</v>
      </c>
      <c r="Q343" s="3">
        <v>0</v>
      </c>
      <c r="S343" s="23" t="s">
        <v>5949</v>
      </c>
      <c r="T343" s="23" t="s">
        <v>4931</v>
      </c>
      <c r="U343" s="3">
        <v>34</v>
      </c>
      <c r="W343" s="45" t="str">
        <f>HYPERLINK("http://ictvonline.org/taxonomy/p/taxonomy-history?taxnode_id=201852580","ICTVonline=201852580")</f>
        <v>ICTVonline=201852580</v>
      </c>
      <c r="AA343" s="1">
        <v>201850000</v>
      </c>
      <c r="AB343" s="1">
        <v>34</v>
      </c>
    </row>
    <row r="344" spans="1:28" x14ac:dyDescent="0.15">
      <c r="A344" s="1">
        <v>877</v>
      </c>
      <c r="B344" s="1" t="s">
        <v>7159</v>
      </c>
      <c r="F344" s="1" t="s">
        <v>5617</v>
      </c>
      <c r="G344" s="1" t="s">
        <v>5708</v>
      </c>
      <c r="H344" s="1" t="s">
        <v>5709</v>
      </c>
      <c r="J344" s="1" t="s">
        <v>4108</v>
      </c>
      <c r="L344" s="1" t="s">
        <v>1065</v>
      </c>
      <c r="N344" s="1" t="s">
        <v>2648</v>
      </c>
      <c r="P344" s="1" t="s">
        <v>2657</v>
      </c>
      <c r="Q344" s="3">
        <v>0</v>
      </c>
      <c r="S344" s="23" t="s">
        <v>5949</v>
      </c>
      <c r="T344" s="23" t="s">
        <v>4931</v>
      </c>
      <c r="U344" s="3">
        <v>34</v>
      </c>
      <c r="W344" s="45" t="str">
        <f>HYPERLINK("http://ictvonline.org/taxonomy/p/taxonomy-history?taxnode_id=201852581","ICTVonline=201852581")</f>
        <v>ICTVonline=201852581</v>
      </c>
      <c r="AA344" s="1">
        <v>201850000</v>
      </c>
      <c r="AB344" s="1">
        <v>34</v>
      </c>
    </row>
    <row r="345" spans="1:28" x14ac:dyDescent="0.15">
      <c r="A345" s="1">
        <v>879</v>
      </c>
      <c r="B345" s="1" t="s">
        <v>7159</v>
      </c>
      <c r="F345" s="1" t="s">
        <v>5617</v>
      </c>
      <c r="G345" s="1" t="s">
        <v>5708</v>
      </c>
      <c r="H345" s="1" t="s">
        <v>5709</v>
      </c>
      <c r="J345" s="1" t="s">
        <v>4108</v>
      </c>
      <c r="L345" s="1" t="s">
        <v>1065</v>
      </c>
      <c r="N345" s="1" t="s">
        <v>2648</v>
      </c>
      <c r="P345" s="1" t="s">
        <v>4629</v>
      </c>
      <c r="Q345" s="3">
        <v>0</v>
      </c>
      <c r="S345" s="23" t="s">
        <v>5949</v>
      </c>
      <c r="T345" s="23" t="s">
        <v>4931</v>
      </c>
      <c r="U345" s="3">
        <v>34</v>
      </c>
      <c r="W345" s="45" t="str">
        <f>HYPERLINK("http://ictvonline.org/taxonomy/p/taxonomy-history?taxnode_id=201852582","ICTVonline=201852582")</f>
        <v>ICTVonline=201852582</v>
      </c>
      <c r="AA345" s="1">
        <v>201850000</v>
      </c>
      <c r="AB345" s="1">
        <v>34</v>
      </c>
    </row>
    <row r="346" spans="1:28" x14ac:dyDescent="0.15">
      <c r="A346" s="1">
        <v>881</v>
      </c>
      <c r="B346" s="1" t="s">
        <v>7159</v>
      </c>
      <c r="F346" s="1" t="s">
        <v>5617</v>
      </c>
      <c r="G346" s="1" t="s">
        <v>5708</v>
      </c>
      <c r="H346" s="1" t="s">
        <v>5709</v>
      </c>
      <c r="J346" s="1" t="s">
        <v>4108</v>
      </c>
      <c r="L346" s="1" t="s">
        <v>1065</v>
      </c>
      <c r="N346" s="1" t="s">
        <v>2648</v>
      </c>
      <c r="P346" s="1" t="s">
        <v>2658</v>
      </c>
      <c r="Q346" s="3">
        <v>0</v>
      </c>
      <c r="S346" s="23" t="s">
        <v>5949</v>
      </c>
      <c r="T346" s="23" t="s">
        <v>4931</v>
      </c>
      <c r="U346" s="3">
        <v>34</v>
      </c>
      <c r="W346" s="45" t="str">
        <f>HYPERLINK("http://ictvonline.org/taxonomy/p/taxonomy-history?taxnode_id=201852583","ICTVonline=201852583")</f>
        <v>ICTVonline=201852583</v>
      </c>
      <c r="AA346" s="1">
        <v>201850000</v>
      </c>
      <c r="AB346" s="1">
        <v>34</v>
      </c>
    </row>
    <row r="347" spans="1:28" x14ac:dyDescent="0.15">
      <c r="A347" s="1">
        <v>883</v>
      </c>
      <c r="B347" s="1" t="s">
        <v>7159</v>
      </c>
      <c r="F347" s="1" t="s">
        <v>5617</v>
      </c>
      <c r="G347" s="1" t="s">
        <v>5708</v>
      </c>
      <c r="H347" s="1" t="s">
        <v>5709</v>
      </c>
      <c r="J347" s="1" t="s">
        <v>4108</v>
      </c>
      <c r="L347" s="1" t="s">
        <v>1065</v>
      </c>
      <c r="N347" s="1" t="s">
        <v>2648</v>
      </c>
      <c r="P347" s="1" t="s">
        <v>2659</v>
      </c>
      <c r="Q347" s="3">
        <v>0</v>
      </c>
      <c r="S347" s="23" t="s">
        <v>5949</v>
      </c>
      <c r="T347" s="23" t="s">
        <v>4931</v>
      </c>
      <c r="U347" s="3">
        <v>34</v>
      </c>
      <c r="W347" s="45" t="str">
        <f>HYPERLINK("http://ictvonline.org/taxonomy/p/taxonomy-history?taxnode_id=201852584","ICTVonline=201852584")</f>
        <v>ICTVonline=201852584</v>
      </c>
      <c r="AA347" s="1">
        <v>201850000</v>
      </c>
      <c r="AB347" s="1">
        <v>34</v>
      </c>
    </row>
    <row r="348" spans="1:28" x14ac:dyDescent="0.15">
      <c r="A348" s="1">
        <v>885</v>
      </c>
      <c r="B348" s="1" t="s">
        <v>7159</v>
      </c>
      <c r="F348" s="1" t="s">
        <v>5617</v>
      </c>
      <c r="G348" s="1" t="s">
        <v>5708</v>
      </c>
      <c r="H348" s="1" t="s">
        <v>5709</v>
      </c>
      <c r="J348" s="1" t="s">
        <v>4108</v>
      </c>
      <c r="L348" s="1" t="s">
        <v>1065</v>
      </c>
      <c r="N348" s="1" t="s">
        <v>2648</v>
      </c>
      <c r="P348" s="1" t="s">
        <v>2660</v>
      </c>
      <c r="Q348" s="3">
        <v>0</v>
      </c>
      <c r="S348" s="23" t="s">
        <v>5949</v>
      </c>
      <c r="T348" s="23" t="s">
        <v>4931</v>
      </c>
      <c r="U348" s="3">
        <v>34</v>
      </c>
      <c r="W348" s="45" t="str">
        <f>HYPERLINK("http://ictvonline.org/taxonomy/p/taxonomy-history?taxnode_id=201852585","ICTVonline=201852585")</f>
        <v>ICTVonline=201852585</v>
      </c>
      <c r="AA348" s="1">
        <v>201850000</v>
      </c>
      <c r="AB348" s="1">
        <v>34</v>
      </c>
    </row>
    <row r="349" spans="1:28" x14ac:dyDescent="0.15">
      <c r="A349" s="1">
        <v>887</v>
      </c>
      <c r="B349" s="1" t="s">
        <v>7159</v>
      </c>
      <c r="F349" s="1" t="s">
        <v>5617</v>
      </c>
      <c r="G349" s="1" t="s">
        <v>5708</v>
      </c>
      <c r="H349" s="1" t="s">
        <v>5709</v>
      </c>
      <c r="J349" s="1" t="s">
        <v>4108</v>
      </c>
      <c r="L349" s="1" t="s">
        <v>1065</v>
      </c>
      <c r="N349" s="1" t="s">
        <v>2648</v>
      </c>
      <c r="P349" s="1" t="s">
        <v>2661</v>
      </c>
      <c r="Q349" s="3">
        <v>1</v>
      </c>
      <c r="S349" s="23" t="s">
        <v>5949</v>
      </c>
      <c r="T349" s="23" t="s">
        <v>4931</v>
      </c>
      <c r="U349" s="3">
        <v>34</v>
      </c>
      <c r="W349" s="45" t="str">
        <f>HYPERLINK("http://ictvonline.org/taxonomy/p/taxonomy-history?taxnode_id=201852586","ICTVonline=201852586")</f>
        <v>ICTVonline=201852586</v>
      </c>
      <c r="AA349" s="1">
        <v>201850000</v>
      </c>
      <c r="AB349" s="1">
        <v>34</v>
      </c>
    </row>
    <row r="350" spans="1:28" x14ac:dyDescent="0.15">
      <c r="A350" s="1">
        <v>889</v>
      </c>
      <c r="B350" s="1" t="s">
        <v>7159</v>
      </c>
      <c r="F350" s="1" t="s">
        <v>5617</v>
      </c>
      <c r="G350" s="1" t="s">
        <v>5708</v>
      </c>
      <c r="H350" s="1" t="s">
        <v>5709</v>
      </c>
      <c r="J350" s="1" t="s">
        <v>4108</v>
      </c>
      <c r="L350" s="1" t="s">
        <v>1065</v>
      </c>
      <c r="N350" s="1" t="s">
        <v>2648</v>
      </c>
      <c r="P350" s="1" t="s">
        <v>2662</v>
      </c>
      <c r="Q350" s="3">
        <v>0</v>
      </c>
      <c r="S350" s="23" t="s">
        <v>5949</v>
      </c>
      <c r="T350" s="23" t="s">
        <v>4931</v>
      </c>
      <c r="U350" s="3">
        <v>34</v>
      </c>
      <c r="W350" s="45" t="str">
        <f>HYPERLINK("http://ictvonline.org/taxonomy/p/taxonomy-history?taxnode_id=201852587","ICTVonline=201852587")</f>
        <v>ICTVonline=201852587</v>
      </c>
      <c r="AA350" s="1">
        <v>201850000</v>
      </c>
      <c r="AB350" s="1">
        <v>34</v>
      </c>
    </row>
    <row r="351" spans="1:28" x14ac:dyDescent="0.15">
      <c r="A351" s="1">
        <v>891</v>
      </c>
      <c r="B351" s="1" t="s">
        <v>7159</v>
      </c>
      <c r="F351" s="1" t="s">
        <v>5617</v>
      </c>
      <c r="G351" s="1" t="s">
        <v>5708</v>
      </c>
      <c r="H351" s="1" t="s">
        <v>5709</v>
      </c>
      <c r="J351" s="1" t="s">
        <v>4108</v>
      </c>
      <c r="L351" s="1" t="s">
        <v>1065</v>
      </c>
      <c r="N351" s="1" t="s">
        <v>2648</v>
      </c>
      <c r="P351" s="1" t="s">
        <v>3683</v>
      </c>
      <c r="Q351" s="3">
        <v>0</v>
      </c>
      <c r="S351" s="23" t="s">
        <v>5949</v>
      </c>
      <c r="T351" s="23" t="s">
        <v>4931</v>
      </c>
      <c r="U351" s="3">
        <v>34</v>
      </c>
      <c r="W351" s="45" t="str">
        <f>HYPERLINK("http://ictvonline.org/taxonomy/p/taxonomy-history?taxnode_id=201852588","ICTVonline=201852588")</f>
        <v>ICTVonline=201852588</v>
      </c>
      <c r="AA351" s="1">
        <v>201850000</v>
      </c>
      <c r="AB351" s="1">
        <v>34</v>
      </c>
    </row>
    <row r="352" spans="1:28" x14ac:dyDescent="0.15">
      <c r="A352" s="1">
        <v>893</v>
      </c>
      <c r="B352" s="1" t="s">
        <v>7159</v>
      </c>
      <c r="F352" s="1" t="s">
        <v>5617</v>
      </c>
      <c r="G352" s="1" t="s">
        <v>5708</v>
      </c>
      <c r="H352" s="1" t="s">
        <v>5709</v>
      </c>
      <c r="J352" s="1" t="s">
        <v>4108</v>
      </c>
      <c r="L352" s="1" t="s">
        <v>1065</v>
      </c>
      <c r="N352" s="1" t="s">
        <v>2648</v>
      </c>
      <c r="P352" s="1" t="s">
        <v>2663</v>
      </c>
      <c r="Q352" s="3">
        <v>0</v>
      </c>
      <c r="S352" s="23" t="s">
        <v>5949</v>
      </c>
      <c r="T352" s="23" t="s">
        <v>4931</v>
      </c>
      <c r="U352" s="3">
        <v>34</v>
      </c>
      <c r="W352" s="45" t="str">
        <f>HYPERLINK("http://ictvonline.org/taxonomy/p/taxonomy-history?taxnode_id=201852589","ICTVonline=201852589")</f>
        <v>ICTVonline=201852589</v>
      </c>
      <c r="AA352" s="1">
        <v>201850000</v>
      </c>
      <c r="AB352" s="1">
        <v>34</v>
      </c>
    </row>
    <row r="353" spans="1:28" x14ac:dyDescent="0.15">
      <c r="A353" s="1">
        <v>895</v>
      </c>
      <c r="B353" s="1" t="s">
        <v>7159</v>
      </c>
      <c r="F353" s="1" t="s">
        <v>5617</v>
      </c>
      <c r="G353" s="1" t="s">
        <v>5708</v>
      </c>
      <c r="H353" s="1" t="s">
        <v>5709</v>
      </c>
      <c r="J353" s="1" t="s">
        <v>4108</v>
      </c>
      <c r="L353" s="1" t="s">
        <v>1065</v>
      </c>
      <c r="N353" s="1" t="s">
        <v>2648</v>
      </c>
      <c r="P353" s="1" t="s">
        <v>2664</v>
      </c>
      <c r="Q353" s="3">
        <v>0</v>
      </c>
      <c r="S353" s="23" t="s">
        <v>5949</v>
      </c>
      <c r="T353" s="23" t="s">
        <v>4931</v>
      </c>
      <c r="U353" s="3">
        <v>34</v>
      </c>
      <c r="W353" s="45" t="str">
        <f>HYPERLINK("http://ictvonline.org/taxonomy/p/taxonomy-history?taxnode_id=201852590","ICTVonline=201852590")</f>
        <v>ICTVonline=201852590</v>
      </c>
      <c r="AA353" s="1">
        <v>201850000</v>
      </c>
      <c r="AB353" s="1">
        <v>34</v>
      </c>
    </row>
    <row r="354" spans="1:28" x14ac:dyDescent="0.15">
      <c r="A354" s="1">
        <v>897</v>
      </c>
      <c r="B354" s="1" t="s">
        <v>7159</v>
      </c>
      <c r="F354" s="1" t="s">
        <v>5617</v>
      </c>
      <c r="G354" s="1" t="s">
        <v>5708</v>
      </c>
      <c r="H354" s="1" t="s">
        <v>5709</v>
      </c>
      <c r="J354" s="1" t="s">
        <v>4108</v>
      </c>
      <c r="L354" s="1" t="s">
        <v>1065</v>
      </c>
      <c r="N354" s="1" t="s">
        <v>2648</v>
      </c>
      <c r="P354" s="1" t="s">
        <v>2665</v>
      </c>
      <c r="Q354" s="3">
        <v>0</v>
      </c>
      <c r="S354" s="23" t="s">
        <v>5949</v>
      </c>
      <c r="T354" s="23" t="s">
        <v>4931</v>
      </c>
      <c r="U354" s="3">
        <v>34</v>
      </c>
      <c r="W354" s="45" t="str">
        <f>HYPERLINK("http://ictvonline.org/taxonomy/p/taxonomy-history?taxnode_id=201852591","ICTVonline=201852591")</f>
        <v>ICTVonline=201852591</v>
      </c>
      <c r="AA354" s="1">
        <v>201850000</v>
      </c>
      <c r="AB354" s="1">
        <v>34</v>
      </c>
    </row>
    <row r="355" spans="1:28" x14ac:dyDescent="0.15">
      <c r="A355" s="1">
        <v>899</v>
      </c>
      <c r="B355" s="1" t="s">
        <v>7159</v>
      </c>
      <c r="F355" s="1" t="s">
        <v>5617</v>
      </c>
      <c r="G355" s="1" t="s">
        <v>5708</v>
      </c>
      <c r="H355" s="1" t="s">
        <v>5709</v>
      </c>
      <c r="J355" s="1" t="s">
        <v>4108</v>
      </c>
      <c r="L355" s="1" t="s">
        <v>1065</v>
      </c>
      <c r="N355" s="1" t="s">
        <v>2648</v>
      </c>
      <c r="P355" s="1" t="s">
        <v>3684</v>
      </c>
      <c r="Q355" s="3">
        <v>0</v>
      </c>
      <c r="S355" s="23" t="s">
        <v>5949</v>
      </c>
      <c r="T355" s="23" t="s">
        <v>4931</v>
      </c>
      <c r="U355" s="3">
        <v>34</v>
      </c>
      <c r="W355" s="45" t="str">
        <f>HYPERLINK("http://ictvonline.org/taxonomy/p/taxonomy-history?taxnode_id=201852592","ICTVonline=201852592")</f>
        <v>ICTVonline=201852592</v>
      </c>
      <c r="AA355" s="1">
        <v>201850000</v>
      </c>
      <c r="AB355" s="1">
        <v>34</v>
      </c>
    </row>
    <row r="356" spans="1:28" x14ac:dyDescent="0.15">
      <c r="A356" s="1">
        <v>901</v>
      </c>
      <c r="B356" s="1" t="s">
        <v>7159</v>
      </c>
      <c r="F356" s="1" t="s">
        <v>5617</v>
      </c>
      <c r="G356" s="1" t="s">
        <v>5708</v>
      </c>
      <c r="H356" s="1" t="s">
        <v>5709</v>
      </c>
      <c r="J356" s="1" t="s">
        <v>4108</v>
      </c>
      <c r="L356" s="1" t="s">
        <v>1065</v>
      </c>
      <c r="N356" s="1" t="s">
        <v>2648</v>
      </c>
      <c r="P356" s="1" t="s">
        <v>2666</v>
      </c>
      <c r="Q356" s="3">
        <v>0</v>
      </c>
      <c r="S356" s="23" t="s">
        <v>5949</v>
      </c>
      <c r="T356" s="23" t="s">
        <v>4931</v>
      </c>
      <c r="U356" s="3">
        <v>34</v>
      </c>
      <c r="W356" s="45" t="str">
        <f>HYPERLINK("http://ictvonline.org/taxonomy/p/taxonomy-history?taxnode_id=201852593","ICTVonline=201852593")</f>
        <v>ICTVonline=201852593</v>
      </c>
      <c r="AA356" s="1">
        <v>201850000</v>
      </c>
      <c r="AB356" s="1">
        <v>34</v>
      </c>
    </row>
    <row r="357" spans="1:28" x14ac:dyDescent="0.15">
      <c r="A357" s="1">
        <v>903</v>
      </c>
      <c r="B357" s="1" t="s">
        <v>7159</v>
      </c>
      <c r="F357" s="1" t="s">
        <v>5617</v>
      </c>
      <c r="G357" s="1" t="s">
        <v>5708</v>
      </c>
      <c r="H357" s="1" t="s">
        <v>5709</v>
      </c>
      <c r="J357" s="1" t="s">
        <v>4108</v>
      </c>
      <c r="L357" s="1" t="s">
        <v>1065</v>
      </c>
      <c r="N357" s="1" t="s">
        <v>2648</v>
      </c>
      <c r="P357" s="1" t="s">
        <v>5308</v>
      </c>
      <c r="Q357" s="3">
        <v>0</v>
      </c>
      <c r="S357" s="23" t="s">
        <v>5949</v>
      </c>
      <c r="T357" s="23" t="s">
        <v>4931</v>
      </c>
      <c r="U357" s="3">
        <v>34</v>
      </c>
      <c r="W357" s="45" t="str">
        <f>HYPERLINK("http://ictvonline.org/taxonomy/p/taxonomy-history?taxnode_id=201852594","ICTVonline=201852594")</f>
        <v>ICTVonline=201852594</v>
      </c>
      <c r="AA357" s="1">
        <v>201850000</v>
      </c>
      <c r="AB357" s="1">
        <v>34</v>
      </c>
    </row>
    <row r="358" spans="1:28" x14ac:dyDescent="0.15">
      <c r="A358" s="1">
        <v>905</v>
      </c>
      <c r="B358" s="1" t="s">
        <v>7159</v>
      </c>
      <c r="F358" s="1" t="s">
        <v>5617</v>
      </c>
      <c r="G358" s="1" t="s">
        <v>5708</v>
      </c>
      <c r="H358" s="1" t="s">
        <v>5709</v>
      </c>
      <c r="J358" s="1" t="s">
        <v>4108</v>
      </c>
      <c r="L358" s="1" t="s">
        <v>1065</v>
      </c>
      <c r="N358" s="1" t="s">
        <v>2648</v>
      </c>
      <c r="P358" s="1" t="s">
        <v>2667</v>
      </c>
      <c r="Q358" s="3">
        <v>0</v>
      </c>
      <c r="S358" s="23" t="s">
        <v>5949</v>
      </c>
      <c r="T358" s="23" t="s">
        <v>4931</v>
      </c>
      <c r="U358" s="3">
        <v>34</v>
      </c>
      <c r="W358" s="45" t="str">
        <f>HYPERLINK("http://ictvonline.org/taxonomy/p/taxonomy-history?taxnode_id=201852596","ICTVonline=201852596")</f>
        <v>ICTVonline=201852596</v>
      </c>
      <c r="AA358" s="1">
        <v>201850000</v>
      </c>
      <c r="AB358" s="1">
        <v>34</v>
      </c>
    </row>
    <row r="359" spans="1:28" x14ac:dyDescent="0.15">
      <c r="A359" s="1">
        <v>907</v>
      </c>
      <c r="B359" s="1" t="s">
        <v>7159</v>
      </c>
      <c r="F359" s="1" t="s">
        <v>5617</v>
      </c>
      <c r="G359" s="1" t="s">
        <v>5708</v>
      </c>
      <c r="H359" s="1" t="s">
        <v>5709</v>
      </c>
      <c r="J359" s="1" t="s">
        <v>4108</v>
      </c>
      <c r="L359" s="1" t="s">
        <v>1065</v>
      </c>
      <c r="N359" s="1" t="s">
        <v>2648</v>
      </c>
      <c r="P359" s="1" t="s">
        <v>5309</v>
      </c>
      <c r="Q359" s="3">
        <v>0</v>
      </c>
      <c r="S359" s="23" t="s">
        <v>5949</v>
      </c>
      <c r="T359" s="23" t="s">
        <v>4931</v>
      </c>
      <c r="U359" s="3">
        <v>34</v>
      </c>
      <c r="W359" s="45" t="str">
        <f>HYPERLINK("http://ictvonline.org/taxonomy/p/taxonomy-history?taxnode_id=201855742","ICTVonline=201855742")</f>
        <v>ICTVonline=201855742</v>
      </c>
      <c r="AA359" s="1">
        <v>201850000</v>
      </c>
      <c r="AB359" s="1">
        <v>34</v>
      </c>
    </row>
    <row r="360" spans="1:28" x14ac:dyDescent="0.15">
      <c r="A360" s="1">
        <v>909</v>
      </c>
      <c r="B360" s="1" t="s">
        <v>7159</v>
      </c>
      <c r="F360" s="1" t="s">
        <v>5617</v>
      </c>
      <c r="G360" s="1" t="s">
        <v>5708</v>
      </c>
      <c r="H360" s="1" t="s">
        <v>5709</v>
      </c>
      <c r="J360" s="1" t="s">
        <v>4108</v>
      </c>
      <c r="L360" s="1" t="s">
        <v>1065</v>
      </c>
      <c r="N360" s="1" t="s">
        <v>2648</v>
      </c>
      <c r="P360" s="1" t="s">
        <v>5310</v>
      </c>
      <c r="Q360" s="3">
        <v>0</v>
      </c>
      <c r="S360" s="23" t="s">
        <v>5949</v>
      </c>
      <c r="T360" s="23" t="s">
        <v>4931</v>
      </c>
      <c r="U360" s="3">
        <v>34</v>
      </c>
      <c r="W360" s="45" t="str">
        <f>HYPERLINK("http://ictvonline.org/taxonomy/p/taxonomy-history?taxnode_id=201852571","ICTVonline=201852571")</f>
        <v>ICTVonline=201852571</v>
      </c>
      <c r="AA360" s="1">
        <v>201850000</v>
      </c>
      <c r="AB360" s="1">
        <v>34</v>
      </c>
    </row>
    <row r="361" spans="1:28" x14ac:dyDescent="0.15">
      <c r="A361" s="1">
        <v>911</v>
      </c>
      <c r="B361" s="1" t="s">
        <v>7159</v>
      </c>
      <c r="F361" s="1" t="s">
        <v>5617</v>
      </c>
      <c r="G361" s="1" t="s">
        <v>5708</v>
      </c>
      <c r="H361" s="1" t="s">
        <v>5709</v>
      </c>
      <c r="J361" s="1" t="s">
        <v>4108</v>
      </c>
      <c r="L361" s="1" t="s">
        <v>1065</v>
      </c>
      <c r="N361" s="1" t="s">
        <v>2648</v>
      </c>
      <c r="P361" s="1" t="s">
        <v>4630</v>
      </c>
      <c r="Q361" s="3">
        <v>0</v>
      </c>
      <c r="S361" s="23" t="s">
        <v>5949</v>
      </c>
      <c r="T361" s="23" t="s">
        <v>4931</v>
      </c>
      <c r="U361" s="3">
        <v>34</v>
      </c>
      <c r="W361" s="45" t="str">
        <f>HYPERLINK("http://ictvonline.org/taxonomy/p/taxonomy-history?taxnode_id=201852598","ICTVonline=201852598")</f>
        <v>ICTVonline=201852598</v>
      </c>
      <c r="AA361" s="1">
        <v>201850000</v>
      </c>
      <c r="AB361" s="1">
        <v>34</v>
      </c>
    </row>
    <row r="362" spans="1:28" x14ac:dyDescent="0.15">
      <c r="A362" s="1">
        <v>913</v>
      </c>
      <c r="B362" s="1" t="s">
        <v>7159</v>
      </c>
      <c r="F362" s="1" t="s">
        <v>5617</v>
      </c>
      <c r="G362" s="1" t="s">
        <v>5708</v>
      </c>
      <c r="H362" s="1" t="s">
        <v>5709</v>
      </c>
      <c r="J362" s="1" t="s">
        <v>4108</v>
      </c>
      <c r="L362" s="1" t="s">
        <v>1065</v>
      </c>
      <c r="N362" s="1" t="s">
        <v>2648</v>
      </c>
      <c r="P362" s="1" t="s">
        <v>5311</v>
      </c>
      <c r="Q362" s="3">
        <v>0</v>
      </c>
      <c r="S362" s="23" t="s">
        <v>5949</v>
      </c>
      <c r="T362" s="23" t="s">
        <v>4931</v>
      </c>
      <c r="U362" s="3">
        <v>34</v>
      </c>
      <c r="W362" s="45" t="str">
        <f>HYPERLINK("http://ictvonline.org/taxonomy/p/taxonomy-history?taxnode_id=201855743","ICTVonline=201855743")</f>
        <v>ICTVonline=201855743</v>
      </c>
      <c r="AA362" s="1">
        <v>201850000</v>
      </c>
      <c r="AB362" s="1">
        <v>34</v>
      </c>
    </row>
    <row r="363" spans="1:28" x14ac:dyDescent="0.15">
      <c r="A363" s="1">
        <v>915</v>
      </c>
      <c r="B363" s="1" t="s">
        <v>7159</v>
      </c>
      <c r="F363" s="1" t="s">
        <v>5617</v>
      </c>
      <c r="G363" s="1" t="s">
        <v>5708</v>
      </c>
      <c r="H363" s="1" t="s">
        <v>5709</v>
      </c>
      <c r="J363" s="1" t="s">
        <v>4108</v>
      </c>
      <c r="L363" s="1" t="s">
        <v>1065</v>
      </c>
      <c r="N363" s="1" t="s">
        <v>2648</v>
      </c>
      <c r="P363" s="1" t="s">
        <v>2668</v>
      </c>
      <c r="Q363" s="3">
        <v>0</v>
      </c>
      <c r="S363" s="23" t="s">
        <v>5949</v>
      </c>
      <c r="T363" s="23" t="s">
        <v>4931</v>
      </c>
      <c r="U363" s="3">
        <v>34</v>
      </c>
      <c r="W363" s="45" t="str">
        <f>HYPERLINK("http://ictvonline.org/taxonomy/p/taxonomy-history?taxnode_id=201852599","ICTVonline=201852599")</f>
        <v>ICTVonline=201852599</v>
      </c>
      <c r="AA363" s="1">
        <v>201850000</v>
      </c>
      <c r="AB363" s="1">
        <v>34</v>
      </c>
    </row>
    <row r="364" spans="1:28" x14ac:dyDescent="0.15">
      <c r="A364" s="1">
        <v>917</v>
      </c>
      <c r="B364" s="1" t="s">
        <v>7159</v>
      </c>
      <c r="F364" s="1" t="s">
        <v>5617</v>
      </c>
      <c r="G364" s="1" t="s">
        <v>5708</v>
      </c>
      <c r="H364" s="1" t="s">
        <v>5709</v>
      </c>
      <c r="J364" s="1" t="s">
        <v>4108</v>
      </c>
      <c r="L364" s="1" t="s">
        <v>1065</v>
      </c>
      <c r="N364" s="1" t="s">
        <v>2648</v>
      </c>
      <c r="P364" s="1" t="s">
        <v>2669</v>
      </c>
      <c r="Q364" s="3">
        <v>0</v>
      </c>
      <c r="S364" s="23" t="s">
        <v>5949</v>
      </c>
      <c r="T364" s="23" t="s">
        <v>4931</v>
      </c>
      <c r="U364" s="3">
        <v>34</v>
      </c>
      <c r="W364" s="45" t="str">
        <f>HYPERLINK("http://ictvonline.org/taxonomy/p/taxonomy-history?taxnode_id=201852600","ICTVonline=201852600")</f>
        <v>ICTVonline=201852600</v>
      </c>
      <c r="AA364" s="1">
        <v>201850000</v>
      </c>
      <c r="AB364" s="1">
        <v>34</v>
      </c>
    </row>
    <row r="365" spans="1:28" x14ac:dyDescent="0.15">
      <c r="A365" s="1">
        <v>919</v>
      </c>
      <c r="B365" s="1" t="s">
        <v>7159</v>
      </c>
      <c r="F365" s="1" t="s">
        <v>5617</v>
      </c>
      <c r="G365" s="1" t="s">
        <v>5708</v>
      </c>
      <c r="H365" s="1" t="s">
        <v>5709</v>
      </c>
      <c r="J365" s="1" t="s">
        <v>4108</v>
      </c>
      <c r="L365" s="1" t="s">
        <v>1065</v>
      </c>
      <c r="N365" s="1" t="s">
        <v>2648</v>
      </c>
      <c r="P365" s="1" t="s">
        <v>3685</v>
      </c>
      <c r="Q365" s="3">
        <v>0</v>
      </c>
      <c r="S365" s="23" t="s">
        <v>5949</v>
      </c>
      <c r="T365" s="23" t="s">
        <v>4931</v>
      </c>
      <c r="U365" s="3">
        <v>34</v>
      </c>
      <c r="W365" s="45" t="str">
        <f>HYPERLINK("http://ictvonline.org/taxonomy/p/taxonomy-history?taxnode_id=201852601","ICTVonline=201852601")</f>
        <v>ICTVonline=201852601</v>
      </c>
      <c r="AA365" s="1">
        <v>201850000</v>
      </c>
      <c r="AB365" s="1">
        <v>34</v>
      </c>
    </row>
    <row r="366" spans="1:28" x14ac:dyDescent="0.15">
      <c r="A366" s="1">
        <v>921</v>
      </c>
      <c r="B366" s="1" t="s">
        <v>7159</v>
      </c>
      <c r="F366" s="1" t="s">
        <v>5617</v>
      </c>
      <c r="G366" s="1" t="s">
        <v>5708</v>
      </c>
      <c r="H366" s="1" t="s">
        <v>5709</v>
      </c>
      <c r="J366" s="1" t="s">
        <v>4108</v>
      </c>
      <c r="L366" s="1" t="s">
        <v>1065</v>
      </c>
      <c r="N366" s="1" t="s">
        <v>2648</v>
      </c>
      <c r="P366" s="1" t="s">
        <v>2670</v>
      </c>
      <c r="Q366" s="3">
        <v>0</v>
      </c>
      <c r="S366" s="23" t="s">
        <v>5949</v>
      </c>
      <c r="T366" s="23" t="s">
        <v>4931</v>
      </c>
      <c r="U366" s="3">
        <v>34</v>
      </c>
      <c r="W366" s="45" t="str">
        <f>HYPERLINK("http://ictvonline.org/taxonomy/p/taxonomy-history?taxnode_id=201852602","ICTVonline=201852602")</f>
        <v>ICTVonline=201852602</v>
      </c>
      <c r="AA366" s="1">
        <v>201850000</v>
      </c>
      <c r="AB366" s="1">
        <v>34</v>
      </c>
    </row>
    <row r="367" spans="1:28" x14ac:dyDescent="0.15">
      <c r="A367" s="1">
        <v>925</v>
      </c>
      <c r="B367" s="1" t="s">
        <v>7159</v>
      </c>
      <c r="F367" s="1" t="s">
        <v>5617</v>
      </c>
      <c r="G367" s="1" t="s">
        <v>5708</v>
      </c>
      <c r="H367" s="1" t="s">
        <v>5709</v>
      </c>
      <c r="J367" s="1" t="s">
        <v>4108</v>
      </c>
      <c r="L367" s="1" t="s">
        <v>1065</v>
      </c>
      <c r="N367" s="1" t="s">
        <v>2671</v>
      </c>
      <c r="P367" s="1" t="s">
        <v>5312</v>
      </c>
      <c r="Q367" s="3">
        <v>0</v>
      </c>
      <c r="S367" s="23" t="s">
        <v>5949</v>
      </c>
      <c r="T367" s="23" t="s">
        <v>4931</v>
      </c>
      <c r="U367" s="3">
        <v>34</v>
      </c>
      <c r="W367" s="45" t="str">
        <f>HYPERLINK("http://ictvonline.org/taxonomy/p/taxonomy-history?taxnode_id=201852605","ICTVonline=201852605")</f>
        <v>ICTVonline=201852605</v>
      </c>
      <c r="AA367" s="1">
        <v>201850000</v>
      </c>
      <c r="AB367" s="1">
        <v>34</v>
      </c>
    </row>
    <row r="368" spans="1:28" x14ac:dyDescent="0.15">
      <c r="A368" s="1">
        <v>927</v>
      </c>
      <c r="B368" s="1" t="s">
        <v>7159</v>
      </c>
      <c r="F368" s="1" t="s">
        <v>5617</v>
      </c>
      <c r="G368" s="1" t="s">
        <v>5708</v>
      </c>
      <c r="H368" s="1" t="s">
        <v>5709</v>
      </c>
      <c r="J368" s="1" t="s">
        <v>4108</v>
      </c>
      <c r="L368" s="1" t="s">
        <v>1065</v>
      </c>
      <c r="N368" s="1" t="s">
        <v>2671</v>
      </c>
      <c r="P368" s="1" t="s">
        <v>5313</v>
      </c>
      <c r="Q368" s="3">
        <v>0</v>
      </c>
      <c r="S368" s="23" t="s">
        <v>5949</v>
      </c>
      <c r="T368" s="23" t="s">
        <v>4931</v>
      </c>
      <c r="U368" s="3">
        <v>34</v>
      </c>
      <c r="W368" s="45" t="str">
        <f>HYPERLINK("http://ictvonline.org/taxonomy/p/taxonomy-history?taxnode_id=201855744","ICTVonline=201855744")</f>
        <v>ICTVonline=201855744</v>
      </c>
      <c r="AA368" s="1">
        <v>201850000</v>
      </c>
      <c r="AB368" s="1">
        <v>34</v>
      </c>
    </row>
    <row r="369" spans="1:28" x14ac:dyDescent="0.15">
      <c r="A369" s="1">
        <v>929</v>
      </c>
      <c r="B369" s="1" t="s">
        <v>7159</v>
      </c>
      <c r="F369" s="1" t="s">
        <v>5617</v>
      </c>
      <c r="G369" s="1" t="s">
        <v>5708</v>
      </c>
      <c r="H369" s="1" t="s">
        <v>5709</v>
      </c>
      <c r="J369" s="1" t="s">
        <v>4108</v>
      </c>
      <c r="L369" s="1" t="s">
        <v>1065</v>
      </c>
      <c r="N369" s="1" t="s">
        <v>2671</v>
      </c>
      <c r="P369" s="1" t="s">
        <v>5314</v>
      </c>
      <c r="Q369" s="3">
        <v>1</v>
      </c>
      <c r="S369" s="23" t="s">
        <v>5949</v>
      </c>
      <c r="T369" s="23" t="s">
        <v>4931</v>
      </c>
      <c r="U369" s="3">
        <v>34</v>
      </c>
      <c r="W369" s="45" t="str">
        <f>HYPERLINK("http://ictvonline.org/taxonomy/p/taxonomy-history?taxnode_id=201852604","ICTVonline=201852604")</f>
        <v>ICTVonline=201852604</v>
      </c>
      <c r="AA369" s="1">
        <v>201850000</v>
      </c>
      <c r="AB369" s="1">
        <v>34</v>
      </c>
    </row>
    <row r="370" spans="1:28" x14ac:dyDescent="0.15">
      <c r="A370" s="1">
        <v>931</v>
      </c>
      <c r="B370" s="1" t="s">
        <v>7159</v>
      </c>
      <c r="F370" s="1" t="s">
        <v>5617</v>
      </c>
      <c r="G370" s="1" t="s">
        <v>5708</v>
      </c>
      <c r="H370" s="1" t="s">
        <v>5709</v>
      </c>
      <c r="J370" s="1" t="s">
        <v>4108</v>
      </c>
      <c r="L370" s="1" t="s">
        <v>1065</v>
      </c>
      <c r="N370" s="1" t="s">
        <v>2671</v>
      </c>
      <c r="P370" s="1" t="s">
        <v>5315</v>
      </c>
      <c r="Q370" s="3">
        <v>0</v>
      </c>
      <c r="S370" s="23" t="s">
        <v>5949</v>
      </c>
      <c r="T370" s="23" t="s">
        <v>4931</v>
      </c>
      <c r="U370" s="3">
        <v>34</v>
      </c>
      <c r="W370" s="45" t="str">
        <f>HYPERLINK("http://ictvonline.org/taxonomy/p/taxonomy-history?taxnode_id=201855745","ICTVonline=201855745")</f>
        <v>ICTVonline=201855745</v>
      </c>
      <c r="AA370" s="1">
        <v>201850000</v>
      </c>
      <c r="AB370" s="1">
        <v>34</v>
      </c>
    </row>
    <row r="371" spans="1:28" x14ac:dyDescent="0.15">
      <c r="A371" s="1">
        <v>933</v>
      </c>
      <c r="B371" s="1" t="s">
        <v>7159</v>
      </c>
      <c r="F371" s="1" t="s">
        <v>5617</v>
      </c>
      <c r="G371" s="1" t="s">
        <v>5708</v>
      </c>
      <c r="H371" s="1" t="s">
        <v>5709</v>
      </c>
      <c r="J371" s="1" t="s">
        <v>4108</v>
      </c>
      <c r="L371" s="1" t="s">
        <v>1065</v>
      </c>
      <c r="N371" s="1" t="s">
        <v>2671</v>
      </c>
      <c r="P371" s="1" t="s">
        <v>5316</v>
      </c>
      <c r="Q371" s="3">
        <v>0</v>
      </c>
      <c r="S371" s="23" t="s">
        <v>5949</v>
      </c>
      <c r="T371" s="23" t="s">
        <v>4931</v>
      </c>
      <c r="U371" s="3">
        <v>34</v>
      </c>
      <c r="W371" s="45" t="str">
        <f>HYPERLINK("http://ictvonline.org/taxonomy/p/taxonomy-history?taxnode_id=201852606","ICTVonline=201852606")</f>
        <v>ICTVonline=201852606</v>
      </c>
      <c r="AA371" s="1">
        <v>201850000</v>
      </c>
      <c r="AB371" s="1">
        <v>34</v>
      </c>
    </row>
    <row r="372" spans="1:28" x14ac:dyDescent="0.15">
      <c r="A372" s="1">
        <v>939</v>
      </c>
      <c r="B372" s="1" t="s">
        <v>7159</v>
      </c>
      <c r="F372" s="1" t="s">
        <v>5617</v>
      </c>
      <c r="G372" s="1" t="s">
        <v>5708</v>
      </c>
      <c r="H372" s="1" t="s">
        <v>5709</v>
      </c>
      <c r="J372" s="1" t="s">
        <v>4108</v>
      </c>
      <c r="L372" s="1" t="s">
        <v>5710</v>
      </c>
      <c r="N372" s="1" t="s">
        <v>5711</v>
      </c>
      <c r="P372" s="1" t="s">
        <v>5712</v>
      </c>
      <c r="Q372" s="3">
        <v>1</v>
      </c>
      <c r="S372" s="23" t="s">
        <v>5949</v>
      </c>
      <c r="T372" s="23" t="s">
        <v>4931</v>
      </c>
      <c r="U372" s="3">
        <v>34</v>
      </c>
      <c r="W372" s="45" t="str">
        <f>HYPERLINK("http://ictvonline.org/taxonomy/p/taxonomy-history?taxnode_id=201856209","ICTVonline=201856209")</f>
        <v>ICTVonline=201856209</v>
      </c>
      <c r="AA372" s="1">
        <v>201850000</v>
      </c>
      <c r="AB372" s="1">
        <v>34</v>
      </c>
    </row>
    <row r="373" spans="1:28" x14ac:dyDescent="0.15">
      <c r="A373" s="1">
        <v>945</v>
      </c>
      <c r="B373" s="1" t="s">
        <v>7159</v>
      </c>
      <c r="F373" s="1" t="s">
        <v>5617</v>
      </c>
      <c r="G373" s="1" t="s">
        <v>5708</v>
      </c>
      <c r="H373" s="1" t="s">
        <v>5709</v>
      </c>
      <c r="J373" s="1" t="s">
        <v>4108</v>
      </c>
      <c r="L373" s="1" t="s">
        <v>4109</v>
      </c>
      <c r="N373" s="1" t="s">
        <v>552</v>
      </c>
      <c r="P373" s="1" t="s">
        <v>4143</v>
      </c>
      <c r="Q373" s="3">
        <v>0</v>
      </c>
      <c r="S373" s="23" t="s">
        <v>5949</v>
      </c>
      <c r="T373" s="23" t="s">
        <v>4931</v>
      </c>
      <c r="U373" s="3">
        <v>34</v>
      </c>
      <c r="W373" s="45" t="str">
        <f>HYPERLINK("http://ictvonline.org/taxonomy/p/taxonomy-history?taxnode_id=201850009","ICTVonline=201850009")</f>
        <v>ICTVonline=201850009</v>
      </c>
      <c r="AA373" s="1">
        <v>201850000</v>
      </c>
      <c r="AB373" s="1">
        <v>34</v>
      </c>
    </row>
    <row r="374" spans="1:28" x14ac:dyDescent="0.15">
      <c r="A374" s="1">
        <v>947</v>
      </c>
      <c r="B374" s="1" t="s">
        <v>7159</v>
      </c>
      <c r="F374" s="1" t="s">
        <v>5617</v>
      </c>
      <c r="G374" s="1" t="s">
        <v>5708</v>
      </c>
      <c r="H374" s="1" t="s">
        <v>5709</v>
      </c>
      <c r="J374" s="1" t="s">
        <v>4108</v>
      </c>
      <c r="L374" s="1" t="s">
        <v>4109</v>
      </c>
      <c r="N374" s="1" t="s">
        <v>552</v>
      </c>
      <c r="P374" s="1" t="s">
        <v>4060</v>
      </c>
      <c r="Q374" s="3">
        <v>1</v>
      </c>
      <c r="S374" s="23" t="s">
        <v>5949</v>
      </c>
      <c r="T374" s="23" t="s">
        <v>4931</v>
      </c>
      <c r="U374" s="3">
        <v>34</v>
      </c>
      <c r="W374" s="45" t="str">
        <f>HYPERLINK("http://ictvonline.org/taxonomy/p/taxonomy-history?taxnode_id=201850010","ICTVonline=201850010")</f>
        <v>ICTVonline=201850010</v>
      </c>
      <c r="AA374" s="1">
        <v>201850000</v>
      </c>
      <c r="AB374" s="1">
        <v>34</v>
      </c>
    </row>
    <row r="375" spans="1:28" x14ac:dyDescent="0.15">
      <c r="A375" s="1">
        <v>949</v>
      </c>
      <c r="B375" s="1" t="s">
        <v>7159</v>
      </c>
      <c r="F375" s="1" t="s">
        <v>5617</v>
      </c>
      <c r="G375" s="1" t="s">
        <v>5708</v>
      </c>
      <c r="H375" s="1" t="s">
        <v>5709</v>
      </c>
      <c r="J375" s="1" t="s">
        <v>4108</v>
      </c>
      <c r="L375" s="1" t="s">
        <v>4109</v>
      </c>
      <c r="N375" s="1" t="s">
        <v>552</v>
      </c>
      <c r="P375" s="1" t="s">
        <v>4061</v>
      </c>
      <c r="Q375" s="3">
        <v>0</v>
      </c>
      <c r="S375" s="23" t="s">
        <v>5949</v>
      </c>
      <c r="T375" s="23" t="s">
        <v>4931</v>
      </c>
      <c r="U375" s="3">
        <v>34</v>
      </c>
      <c r="W375" s="45" t="str">
        <f>HYPERLINK("http://ictvonline.org/taxonomy/p/taxonomy-history?taxnode_id=201850011","ICTVonline=201850011")</f>
        <v>ICTVonline=201850011</v>
      </c>
      <c r="AA375" s="1">
        <v>201850000</v>
      </c>
      <c r="AB375" s="1">
        <v>34</v>
      </c>
    </row>
    <row r="376" spans="1:28" x14ac:dyDescent="0.15">
      <c r="A376" s="1">
        <v>951</v>
      </c>
      <c r="B376" s="1" t="s">
        <v>7159</v>
      </c>
      <c r="F376" s="1" t="s">
        <v>5617</v>
      </c>
      <c r="G376" s="1" t="s">
        <v>5708</v>
      </c>
      <c r="H376" s="1" t="s">
        <v>5709</v>
      </c>
      <c r="J376" s="1" t="s">
        <v>4108</v>
      </c>
      <c r="L376" s="1" t="s">
        <v>4109</v>
      </c>
      <c r="N376" s="1" t="s">
        <v>552</v>
      </c>
      <c r="P376" s="1" t="s">
        <v>4062</v>
      </c>
      <c r="Q376" s="3">
        <v>0</v>
      </c>
      <c r="S376" s="23" t="s">
        <v>5949</v>
      </c>
      <c r="T376" s="23" t="s">
        <v>4931</v>
      </c>
      <c r="U376" s="3">
        <v>34</v>
      </c>
      <c r="W376" s="45" t="str">
        <f>HYPERLINK("http://ictvonline.org/taxonomy/p/taxonomy-history?taxnode_id=201850012","ICTVonline=201850012")</f>
        <v>ICTVonline=201850012</v>
      </c>
      <c r="AA376" s="1">
        <v>201850000</v>
      </c>
      <c r="AB376" s="1">
        <v>34</v>
      </c>
    </row>
    <row r="377" spans="1:28" x14ac:dyDescent="0.15">
      <c r="A377" s="1">
        <v>953</v>
      </c>
      <c r="B377" s="1" t="s">
        <v>7159</v>
      </c>
      <c r="F377" s="1" t="s">
        <v>5617</v>
      </c>
      <c r="G377" s="1" t="s">
        <v>5708</v>
      </c>
      <c r="H377" s="1" t="s">
        <v>5709</v>
      </c>
      <c r="J377" s="1" t="s">
        <v>4108</v>
      </c>
      <c r="L377" s="1" t="s">
        <v>4109</v>
      </c>
      <c r="N377" s="1" t="s">
        <v>552</v>
      </c>
      <c r="P377" s="1" t="s">
        <v>4063</v>
      </c>
      <c r="Q377" s="3">
        <v>0</v>
      </c>
      <c r="S377" s="23" t="s">
        <v>5949</v>
      </c>
      <c r="T377" s="23" t="s">
        <v>4931</v>
      </c>
      <c r="U377" s="3">
        <v>34</v>
      </c>
      <c r="W377" s="45" t="str">
        <f>HYPERLINK("http://ictvonline.org/taxonomy/p/taxonomy-history?taxnode_id=201850013","ICTVonline=201850013")</f>
        <v>ICTVonline=201850013</v>
      </c>
      <c r="AA377" s="1">
        <v>201850000</v>
      </c>
      <c r="AB377" s="1">
        <v>34</v>
      </c>
    </row>
    <row r="378" spans="1:28" x14ac:dyDescent="0.15">
      <c r="A378" s="1">
        <v>955</v>
      </c>
      <c r="B378" s="1" t="s">
        <v>7159</v>
      </c>
      <c r="F378" s="1" t="s">
        <v>5617</v>
      </c>
      <c r="G378" s="1" t="s">
        <v>5708</v>
      </c>
      <c r="H378" s="1" t="s">
        <v>5709</v>
      </c>
      <c r="J378" s="1" t="s">
        <v>4108</v>
      </c>
      <c r="L378" s="1" t="s">
        <v>4109</v>
      </c>
      <c r="N378" s="1" t="s">
        <v>552</v>
      </c>
      <c r="P378" s="1" t="s">
        <v>4144</v>
      </c>
      <c r="Q378" s="3">
        <v>0</v>
      </c>
      <c r="S378" s="23" t="s">
        <v>5949</v>
      </c>
      <c r="T378" s="23" t="s">
        <v>4931</v>
      </c>
      <c r="U378" s="3">
        <v>34</v>
      </c>
      <c r="W378" s="45" t="str">
        <f>HYPERLINK("http://ictvonline.org/taxonomy/p/taxonomy-history?taxnode_id=201850014","ICTVonline=201850014")</f>
        <v>ICTVonline=201850014</v>
      </c>
      <c r="AA378" s="1">
        <v>201850000</v>
      </c>
      <c r="AB378" s="1">
        <v>34</v>
      </c>
    </row>
    <row r="379" spans="1:28" x14ac:dyDescent="0.15">
      <c r="A379" s="1">
        <v>957</v>
      </c>
      <c r="B379" s="1" t="s">
        <v>7159</v>
      </c>
      <c r="F379" s="1" t="s">
        <v>5617</v>
      </c>
      <c r="G379" s="1" t="s">
        <v>5708</v>
      </c>
      <c r="H379" s="1" t="s">
        <v>5709</v>
      </c>
      <c r="J379" s="1" t="s">
        <v>4108</v>
      </c>
      <c r="L379" s="1" t="s">
        <v>4109</v>
      </c>
      <c r="N379" s="1" t="s">
        <v>552</v>
      </c>
      <c r="P379" s="1" t="s">
        <v>4064</v>
      </c>
      <c r="Q379" s="3">
        <v>0</v>
      </c>
      <c r="S379" s="23" t="s">
        <v>5949</v>
      </c>
      <c r="T379" s="23" t="s">
        <v>4931</v>
      </c>
      <c r="U379" s="3">
        <v>34</v>
      </c>
      <c r="W379" s="45" t="str">
        <f>HYPERLINK("http://ictvonline.org/taxonomy/p/taxonomy-history?taxnode_id=201850015","ICTVonline=201850015")</f>
        <v>ICTVonline=201850015</v>
      </c>
      <c r="AA379" s="1">
        <v>201850000</v>
      </c>
      <c r="AB379" s="1">
        <v>34</v>
      </c>
    </row>
    <row r="380" spans="1:28" x14ac:dyDescent="0.15">
      <c r="A380" s="1">
        <v>959</v>
      </c>
      <c r="B380" s="1" t="s">
        <v>7159</v>
      </c>
      <c r="F380" s="1" t="s">
        <v>5617</v>
      </c>
      <c r="G380" s="1" t="s">
        <v>5708</v>
      </c>
      <c r="H380" s="1" t="s">
        <v>5709</v>
      </c>
      <c r="J380" s="1" t="s">
        <v>4108</v>
      </c>
      <c r="L380" s="1" t="s">
        <v>4109</v>
      </c>
      <c r="N380" s="1" t="s">
        <v>552</v>
      </c>
      <c r="P380" s="1" t="s">
        <v>4145</v>
      </c>
      <c r="Q380" s="3">
        <v>0</v>
      </c>
      <c r="S380" s="23" t="s">
        <v>5949</v>
      </c>
      <c r="T380" s="23" t="s">
        <v>4931</v>
      </c>
      <c r="U380" s="3">
        <v>34</v>
      </c>
      <c r="W380" s="45" t="str">
        <f>HYPERLINK("http://ictvonline.org/taxonomy/p/taxonomy-history?taxnode_id=201850016","ICTVonline=201850016")</f>
        <v>ICTVonline=201850016</v>
      </c>
      <c r="AA380" s="1">
        <v>201850000</v>
      </c>
      <c r="AB380" s="1">
        <v>34</v>
      </c>
    </row>
    <row r="381" spans="1:28" x14ac:dyDescent="0.15">
      <c r="A381" s="1">
        <v>961</v>
      </c>
      <c r="B381" s="1" t="s">
        <v>7159</v>
      </c>
      <c r="F381" s="1" t="s">
        <v>5617</v>
      </c>
      <c r="G381" s="1" t="s">
        <v>5708</v>
      </c>
      <c r="H381" s="1" t="s">
        <v>5709</v>
      </c>
      <c r="J381" s="1" t="s">
        <v>4108</v>
      </c>
      <c r="L381" s="1" t="s">
        <v>4109</v>
      </c>
      <c r="N381" s="1" t="s">
        <v>552</v>
      </c>
      <c r="P381" s="1" t="s">
        <v>4065</v>
      </c>
      <c r="Q381" s="3">
        <v>0</v>
      </c>
      <c r="S381" s="23" t="s">
        <v>5949</v>
      </c>
      <c r="T381" s="23" t="s">
        <v>4931</v>
      </c>
      <c r="U381" s="3">
        <v>34</v>
      </c>
      <c r="W381" s="45" t="str">
        <f>HYPERLINK("http://ictvonline.org/taxonomy/p/taxonomy-history?taxnode_id=201850017","ICTVonline=201850017")</f>
        <v>ICTVonline=201850017</v>
      </c>
      <c r="AA381" s="1">
        <v>201850000</v>
      </c>
      <c r="AB381" s="1">
        <v>34</v>
      </c>
    </row>
    <row r="382" spans="1:28" x14ac:dyDescent="0.15">
      <c r="A382" s="1">
        <v>968</v>
      </c>
      <c r="B382" s="1" t="s">
        <v>7159</v>
      </c>
      <c r="F382" s="1" t="s">
        <v>5617</v>
      </c>
      <c r="G382" s="1" t="s">
        <v>5708</v>
      </c>
      <c r="H382" s="1" t="s">
        <v>5709</v>
      </c>
      <c r="J382" s="1" t="s">
        <v>4108</v>
      </c>
      <c r="L382" s="1" t="s">
        <v>4110</v>
      </c>
      <c r="M382" s="1" t="s">
        <v>6044</v>
      </c>
      <c r="N382" s="1" t="s">
        <v>6045</v>
      </c>
      <c r="P382" s="1" t="s">
        <v>6046</v>
      </c>
      <c r="Q382" s="3">
        <v>1</v>
      </c>
      <c r="S382" s="23" t="s">
        <v>5949</v>
      </c>
      <c r="T382" s="23" t="s">
        <v>4929</v>
      </c>
      <c r="U382" s="3">
        <v>34</v>
      </c>
      <c r="V382" s="3" t="s">
        <v>6047</v>
      </c>
      <c r="W382" s="45" t="str">
        <f>HYPERLINK("http://ictvonline.org/taxonomy/p/taxonomy-history?taxnode_id=201856428","ICTVonline=201856428")</f>
        <v>ICTVonline=201856428</v>
      </c>
      <c r="AA382" s="1">
        <v>201850000</v>
      </c>
      <c r="AB382" s="1">
        <v>34</v>
      </c>
    </row>
    <row r="383" spans="1:28" x14ac:dyDescent="0.15">
      <c r="A383" s="1">
        <v>970</v>
      </c>
      <c r="B383" s="1" t="s">
        <v>7159</v>
      </c>
      <c r="F383" s="1" t="s">
        <v>5617</v>
      </c>
      <c r="G383" s="1" t="s">
        <v>5708</v>
      </c>
      <c r="H383" s="1" t="s">
        <v>5709</v>
      </c>
      <c r="J383" s="1" t="s">
        <v>4108</v>
      </c>
      <c r="L383" s="1" t="s">
        <v>4110</v>
      </c>
      <c r="M383" s="1" t="s">
        <v>6044</v>
      </c>
      <c r="N383" s="1" t="s">
        <v>6045</v>
      </c>
      <c r="P383" s="1" t="s">
        <v>6048</v>
      </c>
      <c r="Q383" s="3">
        <v>0</v>
      </c>
      <c r="S383" s="23" t="s">
        <v>5949</v>
      </c>
      <c r="T383" s="23" t="s">
        <v>4929</v>
      </c>
      <c r="U383" s="3">
        <v>34</v>
      </c>
      <c r="V383" s="3" t="s">
        <v>6047</v>
      </c>
      <c r="W383" s="45" t="str">
        <f>HYPERLINK("http://ictvonline.org/taxonomy/p/taxonomy-history?taxnode_id=201856430","ICTVonline=201856430")</f>
        <v>ICTVonline=201856430</v>
      </c>
      <c r="AA383" s="1">
        <v>201850000</v>
      </c>
      <c r="AB383" s="1">
        <v>34</v>
      </c>
    </row>
    <row r="384" spans="1:28" x14ac:dyDescent="0.15">
      <c r="A384" s="1">
        <v>972</v>
      </c>
      <c r="B384" s="1" t="s">
        <v>7159</v>
      </c>
      <c r="F384" s="1" t="s">
        <v>5617</v>
      </c>
      <c r="G384" s="1" t="s">
        <v>5708</v>
      </c>
      <c r="H384" s="1" t="s">
        <v>5709</v>
      </c>
      <c r="J384" s="1" t="s">
        <v>4108</v>
      </c>
      <c r="L384" s="1" t="s">
        <v>4110</v>
      </c>
      <c r="M384" s="1" t="s">
        <v>6044</v>
      </c>
      <c r="N384" s="1" t="s">
        <v>6045</v>
      </c>
      <c r="P384" s="1" t="s">
        <v>6049</v>
      </c>
      <c r="Q384" s="3">
        <v>0</v>
      </c>
      <c r="S384" s="23" t="s">
        <v>5949</v>
      </c>
      <c r="T384" s="23" t="s">
        <v>4929</v>
      </c>
      <c r="U384" s="3">
        <v>34</v>
      </c>
      <c r="V384" s="3" t="s">
        <v>6047</v>
      </c>
      <c r="W384" s="45" t="str">
        <f>HYPERLINK("http://ictvonline.org/taxonomy/p/taxonomy-history?taxnode_id=201856429","ICTVonline=201856429")</f>
        <v>ICTVonline=201856429</v>
      </c>
      <c r="AA384" s="1">
        <v>201850000</v>
      </c>
      <c r="AB384" s="1">
        <v>34</v>
      </c>
    </row>
    <row r="385" spans="1:28" x14ac:dyDescent="0.15">
      <c r="A385" s="1">
        <v>978</v>
      </c>
      <c r="B385" s="1" t="s">
        <v>7159</v>
      </c>
      <c r="F385" s="1" t="s">
        <v>5617</v>
      </c>
      <c r="G385" s="1" t="s">
        <v>5708</v>
      </c>
      <c r="H385" s="1" t="s">
        <v>5709</v>
      </c>
      <c r="J385" s="1" t="s">
        <v>4108</v>
      </c>
      <c r="L385" s="1" t="s">
        <v>4110</v>
      </c>
      <c r="M385" s="1" t="s">
        <v>6050</v>
      </c>
      <c r="N385" s="1" t="s">
        <v>6051</v>
      </c>
      <c r="P385" s="1" t="s">
        <v>6052</v>
      </c>
      <c r="Q385" s="3">
        <v>1</v>
      </c>
      <c r="S385" s="23" t="s">
        <v>5949</v>
      </c>
      <c r="T385" s="23" t="s">
        <v>4929</v>
      </c>
      <c r="U385" s="3">
        <v>34</v>
      </c>
      <c r="V385" s="3" t="s">
        <v>6047</v>
      </c>
      <c r="W385" s="45" t="str">
        <f>HYPERLINK("http://ictvonline.org/taxonomy/p/taxonomy-history?taxnode_id=201856433","ICTVonline=201856433")</f>
        <v>ICTVonline=201856433</v>
      </c>
      <c r="AA385" s="1">
        <v>201850000</v>
      </c>
      <c r="AB385" s="1">
        <v>34</v>
      </c>
    </row>
    <row r="386" spans="1:28" x14ac:dyDescent="0.15">
      <c r="A386" s="1">
        <v>984</v>
      </c>
      <c r="B386" s="1" t="s">
        <v>7159</v>
      </c>
      <c r="F386" s="1" t="s">
        <v>5617</v>
      </c>
      <c r="G386" s="1" t="s">
        <v>5708</v>
      </c>
      <c r="H386" s="1" t="s">
        <v>5709</v>
      </c>
      <c r="J386" s="1" t="s">
        <v>4108</v>
      </c>
      <c r="L386" s="1" t="s">
        <v>4110</v>
      </c>
      <c r="M386" s="1" t="s">
        <v>6053</v>
      </c>
      <c r="N386" s="1" t="s">
        <v>5713</v>
      </c>
      <c r="P386" s="1" t="s">
        <v>5714</v>
      </c>
      <c r="Q386" s="3">
        <v>1</v>
      </c>
      <c r="S386" s="23" t="s">
        <v>5949</v>
      </c>
      <c r="T386" s="23" t="s">
        <v>4931</v>
      </c>
      <c r="U386" s="3">
        <v>34</v>
      </c>
      <c r="W386" s="45" t="str">
        <f>HYPERLINK("http://ictvonline.org/taxonomy/p/taxonomy-history?taxnode_id=201850044","ICTVonline=201850044")</f>
        <v>ICTVonline=201850044</v>
      </c>
      <c r="AA386" s="1">
        <v>201850000</v>
      </c>
      <c r="AB386" s="1">
        <v>34</v>
      </c>
    </row>
    <row r="387" spans="1:28" x14ac:dyDescent="0.15">
      <c r="A387" s="1">
        <v>988</v>
      </c>
      <c r="B387" s="1" t="s">
        <v>7159</v>
      </c>
      <c r="F387" s="1" t="s">
        <v>5617</v>
      </c>
      <c r="G387" s="1" t="s">
        <v>5708</v>
      </c>
      <c r="H387" s="1" t="s">
        <v>5709</v>
      </c>
      <c r="J387" s="1" t="s">
        <v>4108</v>
      </c>
      <c r="L387" s="1" t="s">
        <v>4110</v>
      </c>
      <c r="M387" s="1" t="s">
        <v>6053</v>
      </c>
      <c r="N387" s="1" t="s">
        <v>5715</v>
      </c>
      <c r="P387" s="1" t="s">
        <v>5716</v>
      </c>
      <c r="Q387" s="3">
        <v>0</v>
      </c>
      <c r="S387" s="23" t="s">
        <v>5949</v>
      </c>
      <c r="T387" s="23" t="s">
        <v>4931</v>
      </c>
      <c r="U387" s="3">
        <v>34</v>
      </c>
      <c r="W387" s="45" t="str">
        <f>HYPERLINK("http://ictvonline.org/taxonomy/p/taxonomy-history?taxnode_id=201850043","ICTVonline=201850043")</f>
        <v>ICTVonline=201850043</v>
      </c>
      <c r="AA387" s="1">
        <v>201850000</v>
      </c>
      <c r="AB387" s="1">
        <v>34</v>
      </c>
    </row>
    <row r="388" spans="1:28" x14ac:dyDescent="0.15">
      <c r="A388" s="1">
        <v>990</v>
      </c>
      <c r="B388" s="1" t="s">
        <v>7159</v>
      </c>
      <c r="F388" s="1" t="s">
        <v>5617</v>
      </c>
      <c r="G388" s="1" t="s">
        <v>5708</v>
      </c>
      <c r="H388" s="1" t="s">
        <v>5709</v>
      </c>
      <c r="J388" s="1" t="s">
        <v>4108</v>
      </c>
      <c r="L388" s="1" t="s">
        <v>4110</v>
      </c>
      <c r="M388" s="1" t="s">
        <v>6053</v>
      </c>
      <c r="N388" s="1" t="s">
        <v>5715</v>
      </c>
      <c r="P388" s="1" t="s">
        <v>5717</v>
      </c>
      <c r="Q388" s="3">
        <v>1</v>
      </c>
      <c r="S388" s="23" t="s">
        <v>5949</v>
      </c>
      <c r="T388" s="23" t="s">
        <v>4931</v>
      </c>
      <c r="U388" s="3">
        <v>34</v>
      </c>
      <c r="W388" s="45" t="str">
        <f>HYPERLINK("http://ictvonline.org/taxonomy/p/taxonomy-history?taxnode_id=201850049","ICTVonline=201850049")</f>
        <v>ICTVonline=201850049</v>
      </c>
      <c r="AA388" s="1">
        <v>201850000</v>
      </c>
      <c r="AB388" s="1">
        <v>34</v>
      </c>
    </row>
    <row r="389" spans="1:28" x14ac:dyDescent="0.15">
      <c r="A389" s="1">
        <v>992</v>
      </c>
      <c r="B389" s="1" t="s">
        <v>7159</v>
      </c>
      <c r="F389" s="1" t="s">
        <v>5617</v>
      </c>
      <c r="G389" s="1" t="s">
        <v>5708</v>
      </c>
      <c r="H389" s="1" t="s">
        <v>5709</v>
      </c>
      <c r="J389" s="1" t="s">
        <v>4108</v>
      </c>
      <c r="L389" s="1" t="s">
        <v>4110</v>
      </c>
      <c r="M389" s="1" t="s">
        <v>6053</v>
      </c>
      <c r="N389" s="1" t="s">
        <v>5715</v>
      </c>
      <c r="P389" s="1" t="s">
        <v>5718</v>
      </c>
      <c r="Q389" s="3">
        <v>0</v>
      </c>
      <c r="S389" s="23" t="s">
        <v>5949</v>
      </c>
      <c r="T389" s="23" t="s">
        <v>4931</v>
      </c>
      <c r="U389" s="3">
        <v>34</v>
      </c>
      <c r="W389" s="45" t="str">
        <f>HYPERLINK("http://ictvonline.org/taxonomy/p/taxonomy-history?taxnode_id=201850053","ICTVonline=201850053")</f>
        <v>ICTVonline=201850053</v>
      </c>
      <c r="AA389" s="1">
        <v>201850000</v>
      </c>
      <c r="AB389" s="1">
        <v>34</v>
      </c>
    </row>
    <row r="390" spans="1:28" x14ac:dyDescent="0.15">
      <c r="A390" s="1">
        <v>996</v>
      </c>
      <c r="B390" s="1" t="s">
        <v>7159</v>
      </c>
      <c r="F390" s="1" t="s">
        <v>5617</v>
      </c>
      <c r="G390" s="1" t="s">
        <v>5708</v>
      </c>
      <c r="H390" s="1" t="s">
        <v>5709</v>
      </c>
      <c r="J390" s="1" t="s">
        <v>4108</v>
      </c>
      <c r="L390" s="1" t="s">
        <v>4110</v>
      </c>
      <c r="M390" s="1" t="s">
        <v>6053</v>
      </c>
      <c r="N390" s="1" t="s">
        <v>4111</v>
      </c>
      <c r="P390" s="1" t="s">
        <v>4066</v>
      </c>
      <c r="Q390" s="3">
        <v>0</v>
      </c>
      <c r="S390" s="23" t="s">
        <v>5949</v>
      </c>
      <c r="T390" s="23" t="s">
        <v>4931</v>
      </c>
      <c r="U390" s="3">
        <v>34</v>
      </c>
      <c r="W390" s="45" t="str">
        <f>HYPERLINK("http://ictvonline.org/taxonomy/p/taxonomy-history?taxnode_id=201850022","ICTVonline=201850022")</f>
        <v>ICTVonline=201850022</v>
      </c>
      <c r="AA390" s="1">
        <v>201850000</v>
      </c>
      <c r="AB390" s="1">
        <v>34</v>
      </c>
    </row>
    <row r="391" spans="1:28" x14ac:dyDescent="0.15">
      <c r="A391" s="1">
        <v>998</v>
      </c>
      <c r="B391" s="1" t="s">
        <v>7159</v>
      </c>
      <c r="F391" s="1" t="s">
        <v>5617</v>
      </c>
      <c r="G391" s="1" t="s">
        <v>5708</v>
      </c>
      <c r="H391" s="1" t="s">
        <v>5709</v>
      </c>
      <c r="J391" s="1" t="s">
        <v>4108</v>
      </c>
      <c r="L391" s="1" t="s">
        <v>4110</v>
      </c>
      <c r="M391" s="1" t="s">
        <v>6053</v>
      </c>
      <c r="N391" s="1" t="s">
        <v>4111</v>
      </c>
      <c r="P391" s="1" t="s">
        <v>4146</v>
      </c>
      <c r="Q391" s="3">
        <v>0</v>
      </c>
      <c r="S391" s="23" t="s">
        <v>5949</v>
      </c>
      <c r="T391" s="23" t="s">
        <v>4931</v>
      </c>
      <c r="U391" s="3">
        <v>34</v>
      </c>
      <c r="W391" s="45" t="str">
        <f>HYPERLINK("http://ictvonline.org/taxonomy/p/taxonomy-history?taxnode_id=201850023","ICTVonline=201850023")</f>
        <v>ICTVonline=201850023</v>
      </c>
      <c r="AA391" s="1">
        <v>201850000</v>
      </c>
      <c r="AB391" s="1">
        <v>34</v>
      </c>
    </row>
    <row r="392" spans="1:28" x14ac:dyDescent="0.15">
      <c r="A392" s="1">
        <v>1000</v>
      </c>
      <c r="B392" s="1" t="s">
        <v>7159</v>
      </c>
      <c r="F392" s="1" t="s">
        <v>5617</v>
      </c>
      <c r="G392" s="1" t="s">
        <v>5708</v>
      </c>
      <c r="H392" s="1" t="s">
        <v>5709</v>
      </c>
      <c r="J392" s="1" t="s">
        <v>4108</v>
      </c>
      <c r="L392" s="1" t="s">
        <v>4110</v>
      </c>
      <c r="M392" s="1" t="s">
        <v>6053</v>
      </c>
      <c r="N392" s="1" t="s">
        <v>4111</v>
      </c>
      <c r="P392" s="1" t="s">
        <v>4147</v>
      </c>
      <c r="Q392" s="3">
        <v>0</v>
      </c>
      <c r="S392" s="23" t="s">
        <v>5949</v>
      </c>
      <c r="T392" s="23" t="s">
        <v>4931</v>
      </c>
      <c r="U392" s="3">
        <v>34</v>
      </c>
      <c r="W392" s="45" t="str">
        <f>HYPERLINK("http://ictvonline.org/taxonomy/p/taxonomy-history?taxnode_id=201850024","ICTVonline=201850024")</f>
        <v>ICTVonline=201850024</v>
      </c>
      <c r="AA392" s="1">
        <v>201850000</v>
      </c>
      <c r="AB392" s="1">
        <v>34</v>
      </c>
    </row>
    <row r="393" spans="1:28" x14ac:dyDescent="0.15">
      <c r="A393" s="1">
        <v>1002</v>
      </c>
      <c r="B393" s="1" t="s">
        <v>7159</v>
      </c>
      <c r="F393" s="1" t="s">
        <v>5617</v>
      </c>
      <c r="G393" s="1" t="s">
        <v>5708</v>
      </c>
      <c r="H393" s="1" t="s">
        <v>5709</v>
      </c>
      <c r="J393" s="1" t="s">
        <v>4108</v>
      </c>
      <c r="L393" s="1" t="s">
        <v>4110</v>
      </c>
      <c r="M393" s="1" t="s">
        <v>6053</v>
      </c>
      <c r="N393" s="1" t="s">
        <v>4111</v>
      </c>
      <c r="P393" s="1" t="s">
        <v>4067</v>
      </c>
      <c r="Q393" s="3">
        <v>0</v>
      </c>
      <c r="S393" s="23" t="s">
        <v>5949</v>
      </c>
      <c r="T393" s="23" t="s">
        <v>4931</v>
      </c>
      <c r="U393" s="3">
        <v>34</v>
      </c>
      <c r="W393" s="45" t="str">
        <f>HYPERLINK("http://ictvonline.org/taxonomy/p/taxonomy-history?taxnode_id=201850025","ICTVonline=201850025")</f>
        <v>ICTVonline=201850025</v>
      </c>
      <c r="AA393" s="1">
        <v>201850000</v>
      </c>
      <c r="AB393" s="1">
        <v>34</v>
      </c>
    </row>
    <row r="394" spans="1:28" x14ac:dyDescent="0.15">
      <c r="A394" s="1">
        <v>1004</v>
      </c>
      <c r="B394" s="1" t="s">
        <v>7159</v>
      </c>
      <c r="F394" s="1" t="s">
        <v>5617</v>
      </c>
      <c r="G394" s="1" t="s">
        <v>5708</v>
      </c>
      <c r="H394" s="1" t="s">
        <v>5709</v>
      </c>
      <c r="J394" s="1" t="s">
        <v>4108</v>
      </c>
      <c r="L394" s="1" t="s">
        <v>4110</v>
      </c>
      <c r="M394" s="1" t="s">
        <v>6053</v>
      </c>
      <c r="N394" s="1" t="s">
        <v>4111</v>
      </c>
      <c r="P394" s="1" t="s">
        <v>4068</v>
      </c>
      <c r="Q394" s="3">
        <v>0</v>
      </c>
      <c r="S394" s="23" t="s">
        <v>5949</v>
      </c>
      <c r="T394" s="23" t="s">
        <v>4931</v>
      </c>
      <c r="U394" s="3">
        <v>34</v>
      </c>
      <c r="W394" s="45" t="str">
        <f>HYPERLINK("http://ictvonline.org/taxonomy/p/taxonomy-history?taxnode_id=201850026","ICTVonline=201850026")</f>
        <v>ICTVonline=201850026</v>
      </c>
      <c r="AA394" s="1">
        <v>201850000</v>
      </c>
      <c r="AB394" s="1">
        <v>34</v>
      </c>
    </row>
    <row r="395" spans="1:28" x14ac:dyDescent="0.15">
      <c r="A395" s="1">
        <v>1006</v>
      </c>
      <c r="B395" s="1" t="s">
        <v>7159</v>
      </c>
      <c r="F395" s="1" t="s">
        <v>5617</v>
      </c>
      <c r="G395" s="1" t="s">
        <v>5708</v>
      </c>
      <c r="H395" s="1" t="s">
        <v>5709</v>
      </c>
      <c r="J395" s="1" t="s">
        <v>4108</v>
      </c>
      <c r="L395" s="1" t="s">
        <v>4110</v>
      </c>
      <c r="M395" s="1" t="s">
        <v>6053</v>
      </c>
      <c r="N395" s="1" t="s">
        <v>4111</v>
      </c>
      <c r="P395" s="1" t="s">
        <v>4148</v>
      </c>
      <c r="Q395" s="3">
        <v>0</v>
      </c>
      <c r="S395" s="23" t="s">
        <v>5949</v>
      </c>
      <c r="T395" s="23" t="s">
        <v>4931</v>
      </c>
      <c r="U395" s="3">
        <v>34</v>
      </c>
      <c r="W395" s="45" t="str">
        <f>HYPERLINK("http://ictvonline.org/taxonomy/p/taxonomy-history?taxnode_id=201850027","ICTVonline=201850027")</f>
        <v>ICTVonline=201850027</v>
      </c>
      <c r="AA395" s="1">
        <v>201850000</v>
      </c>
      <c r="AB395" s="1">
        <v>34</v>
      </c>
    </row>
    <row r="396" spans="1:28" x14ac:dyDescent="0.15">
      <c r="A396" s="1">
        <v>1008</v>
      </c>
      <c r="B396" s="1" t="s">
        <v>7159</v>
      </c>
      <c r="F396" s="1" t="s">
        <v>5617</v>
      </c>
      <c r="G396" s="1" t="s">
        <v>5708</v>
      </c>
      <c r="H396" s="1" t="s">
        <v>5709</v>
      </c>
      <c r="J396" s="1" t="s">
        <v>4108</v>
      </c>
      <c r="L396" s="1" t="s">
        <v>4110</v>
      </c>
      <c r="M396" s="1" t="s">
        <v>6053</v>
      </c>
      <c r="N396" s="1" t="s">
        <v>4111</v>
      </c>
      <c r="P396" s="1" t="s">
        <v>4149</v>
      </c>
      <c r="Q396" s="3">
        <v>0</v>
      </c>
      <c r="S396" s="23" t="s">
        <v>5949</v>
      </c>
      <c r="T396" s="23" t="s">
        <v>4931</v>
      </c>
      <c r="U396" s="3">
        <v>34</v>
      </c>
      <c r="W396" s="45" t="str">
        <f>HYPERLINK("http://ictvonline.org/taxonomy/p/taxonomy-history?taxnode_id=201850028","ICTVonline=201850028")</f>
        <v>ICTVonline=201850028</v>
      </c>
      <c r="AA396" s="1">
        <v>201850000</v>
      </c>
      <c r="AB396" s="1">
        <v>34</v>
      </c>
    </row>
    <row r="397" spans="1:28" x14ac:dyDescent="0.15">
      <c r="A397" s="1">
        <v>1010</v>
      </c>
      <c r="B397" s="1" t="s">
        <v>7159</v>
      </c>
      <c r="F397" s="1" t="s">
        <v>5617</v>
      </c>
      <c r="G397" s="1" t="s">
        <v>5708</v>
      </c>
      <c r="H397" s="1" t="s">
        <v>5709</v>
      </c>
      <c r="J397" s="1" t="s">
        <v>4108</v>
      </c>
      <c r="L397" s="1" t="s">
        <v>4110</v>
      </c>
      <c r="M397" s="1" t="s">
        <v>6053</v>
      </c>
      <c r="N397" s="1" t="s">
        <v>4111</v>
      </c>
      <c r="P397" s="1" t="s">
        <v>4069</v>
      </c>
      <c r="Q397" s="3">
        <v>0</v>
      </c>
      <c r="S397" s="23" t="s">
        <v>5949</v>
      </c>
      <c r="T397" s="23" t="s">
        <v>4931</v>
      </c>
      <c r="U397" s="3">
        <v>34</v>
      </c>
      <c r="W397" s="45" t="str">
        <f>HYPERLINK("http://ictvonline.org/taxonomy/p/taxonomy-history?taxnode_id=201850029","ICTVonline=201850029")</f>
        <v>ICTVonline=201850029</v>
      </c>
      <c r="AA397" s="1">
        <v>201850000</v>
      </c>
      <c r="AB397" s="1">
        <v>34</v>
      </c>
    </row>
    <row r="398" spans="1:28" x14ac:dyDescent="0.15">
      <c r="A398" s="1">
        <v>1012</v>
      </c>
      <c r="B398" s="1" t="s">
        <v>7159</v>
      </c>
      <c r="F398" s="1" t="s">
        <v>5617</v>
      </c>
      <c r="G398" s="1" t="s">
        <v>5708</v>
      </c>
      <c r="H398" s="1" t="s">
        <v>5709</v>
      </c>
      <c r="J398" s="1" t="s">
        <v>4108</v>
      </c>
      <c r="L398" s="1" t="s">
        <v>4110</v>
      </c>
      <c r="M398" s="1" t="s">
        <v>6053</v>
      </c>
      <c r="N398" s="1" t="s">
        <v>4111</v>
      </c>
      <c r="P398" s="1" t="s">
        <v>4150</v>
      </c>
      <c r="Q398" s="3">
        <v>0</v>
      </c>
      <c r="S398" s="23" t="s">
        <v>5949</v>
      </c>
      <c r="T398" s="23" t="s">
        <v>4931</v>
      </c>
      <c r="U398" s="3">
        <v>34</v>
      </c>
      <c r="W398" s="45" t="str">
        <f>HYPERLINK("http://ictvonline.org/taxonomy/p/taxonomy-history?taxnode_id=201850030","ICTVonline=201850030")</f>
        <v>ICTVonline=201850030</v>
      </c>
      <c r="AA398" s="1">
        <v>201850000</v>
      </c>
      <c r="AB398" s="1">
        <v>34</v>
      </c>
    </row>
    <row r="399" spans="1:28" x14ac:dyDescent="0.15">
      <c r="A399" s="1">
        <v>1014</v>
      </c>
      <c r="B399" s="1" t="s">
        <v>7159</v>
      </c>
      <c r="F399" s="1" t="s">
        <v>5617</v>
      </c>
      <c r="G399" s="1" t="s">
        <v>5708</v>
      </c>
      <c r="H399" s="1" t="s">
        <v>5709</v>
      </c>
      <c r="J399" s="1" t="s">
        <v>4108</v>
      </c>
      <c r="L399" s="1" t="s">
        <v>4110</v>
      </c>
      <c r="M399" s="1" t="s">
        <v>6053</v>
      </c>
      <c r="N399" s="1" t="s">
        <v>4111</v>
      </c>
      <c r="P399" s="1" t="s">
        <v>4151</v>
      </c>
      <c r="Q399" s="3">
        <v>0</v>
      </c>
      <c r="S399" s="23" t="s">
        <v>5949</v>
      </c>
      <c r="T399" s="23" t="s">
        <v>4931</v>
      </c>
      <c r="U399" s="3">
        <v>34</v>
      </c>
      <c r="W399" s="45" t="str">
        <f>HYPERLINK("http://ictvonline.org/taxonomy/p/taxonomy-history?taxnode_id=201850031","ICTVonline=201850031")</f>
        <v>ICTVonline=201850031</v>
      </c>
      <c r="AA399" s="1">
        <v>201850000</v>
      </c>
      <c r="AB399" s="1">
        <v>34</v>
      </c>
    </row>
    <row r="400" spans="1:28" x14ac:dyDescent="0.15">
      <c r="A400" s="1">
        <v>1016</v>
      </c>
      <c r="B400" s="1" t="s">
        <v>7159</v>
      </c>
      <c r="F400" s="1" t="s">
        <v>5617</v>
      </c>
      <c r="G400" s="1" t="s">
        <v>5708</v>
      </c>
      <c r="H400" s="1" t="s">
        <v>5709</v>
      </c>
      <c r="J400" s="1" t="s">
        <v>4108</v>
      </c>
      <c r="L400" s="1" t="s">
        <v>4110</v>
      </c>
      <c r="M400" s="1" t="s">
        <v>6053</v>
      </c>
      <c r="N400" s="1" t="s">
        <v>4111</v>
      </c>
      <c r="P400" s="1" t="s">
        <v>4152</v>
      </c>
      <c r="Q400" s="3">
        <v>0</v>
      </c>
      <c r="S400" s="23" t="s">
        <v>5949</v>
      </c>
      <c r="T400" s="23" t="s">
        <v>4931</v>
      </c>
      <c r="U400" s="3">
        <v>34</v>
      </c>
      <c r="W400" s="45" t="str">
        <f>HYPERLINK("http://ictvonline.org/taxonomy/p/taxonomy-history?taxnode_id=201850032","ICTVonline=201850032")</f>
        <v>ICTVonline=201850032</v>
      </c>
      <c r="AA400" s="1">
        <v>201850000</v>
      </c>
      <c r="AB400" s="1">
        <v>34</v>
      </c>
    </row>
    <row r="401" spans="1:28" x14ac:dyDescent="0.15">
      <c r="A401" s="1">
        <v>1018</v>
      </c>
      <c r="B401" s="1" t="s">
        <v>7159</v>
      </c>
      <c r="F401" s="1" t="s">
        <v>5617</v>
      </c>
      <c r="G401" s="1" t="s">
        <v>5708</v>
      </c>
      <c r="H401" s="1" t="s">
        <v>5709</v>
      </c>
      <c r="J401" s="1" t="s">
        <v>4108</v>
      </c>
      <c r="L401" s="1" t="s">
        <v>4110</v>
      </c>
      <c r="M401" s="1" t="s">
        <v>6053</v>
      </c>
      <c r="N401" s="1" t="s">
        <v>4111</v>
      </c>
      <c r="P401" s="1" t="s">
        <v>4070</v>
      </c>
      <c r="Q401" s="3">
        <v>0</v>
      </c>
      <c r="S401" s="23" t="s">
        <v>5949</v>
      </c>
      <c r="T401" s="23" t="s">
        <v>4931</v>
      </c>
      <c r="U401" s="3">
        <v>34</v>
      </c>
      <c r="W401" s="45" t="str">
        <f>HYPERLINK("http://ictvonline.org/taxonomy/p/taxonomy-history?taxnode_id=201850033","ICTVonline=201850033")</f>
        <v>ICTVonline=201850033</v>
      </c>
      <c r="AA401" s="1">
        <v>201850000</v>
      </c>
      <c r="AB401" s="1">
        <v>34</v>
      </c>
    </row>
    <row r="402" spans="1:28" x14ac:dyDescent="0.15">
      <c r="A402" s="1">
        <v>1020</v>
      </c>
      <c r="B402" s="1" t="s">
        <v>7159</v>
      </c>
      <c r="F402" s="1" t="s">
        <v>5617</v>
      </c>
      <c r="G402" s="1" t="s">
        <v>5708</v>
      </c>
      <c r="H402" s="1" t="s">
        <v>5709</v>
      </c>
      <c r="J402" s="1" t="s">
        <v>4108</v>
      </c>
      <c r="L402" s="1" t="s">
        <v>4110</v>
      </c>
      <c r="M402" s="1" t="s">
        <v>6053</v>
      </c>
      <c r="N402" s="1" t="s">
        <v>4111</v>
      </c>
      <c r="P402" s="1" t="s">
        <v>4071</v>
      </c>
      <c r="Q402" s="3">
        <v>0</v>
      </c>
      <c r="S402" s="23" t="s">
        <v>5949</v>
      </c>
      <c r="T402" s="23" t="s">
        <v>4931</v>
      </c>
      <c r="U402" s="3">
        <v>34</v>
      </c>
      <c r="W402" s="45" t="str">
        <f>HYPERLINK("http://ictvonline.org/taxonomy/p/taxonomy-history?taxnode_id=201850034","ICTVonline=201850034")</f>
        <v>ICTVonline=201850034</v>
      </c>
      <c r="AA402" s="1">
        <v>201850000</v>
      </c>
      <c r="AB402" s="1">
        <v>34</v>
      </c>
    </row>
    <row r="403" spans="1:28" x14ac:dyDescent="0.15">
      <c r="A403" s="1">
        <v>1022</v>
      </c>
      <c r="B403" s="1" t="s">
        <v>7159</v>
      </c>
      <c r="F403" s="1" t="s">
        <v>5617</v>
      </c>
      <c r="G403" s="1" t="s">
        <v>5708</v>
      </c>
      <c r="H403" s="1" t="s">
        <v>5709</v>
      </c>
      <c r="J403" s="1" t="s">
        <v>4108</v>
      </c>
      <c r="L403" s="1" t="s">
        <v>4110</v>
      </c>
      <c r="M403" s="1" t="s">
        <v>6053</v>
      </c>
      <c r="N403" s="1" t="s">
        <v>4111</v>
      </c>
      <c r="P403" s="1" t="s">
        <v>4153</v>
      </c>
      <c r="Q403" s="3">
        <v>0</v>
      </c>
      <c r="S403" s="23" t="s">
        <v>5949</v>
      </c>
      <c r="T403" s="23" t="s">
        <v>4931</v>
      </c>
      <c r="U403" s="3">
        <v>34</v>
      </c>
      <c r="W403" s="45" t="str">
        <f>HYPERLINK("http://ictvonline.org/taxonomy/p/taxonomy-history?taxnode_id=201850035","ICTVonline=201850035")</f>
        <v>ICTVonline=201850035</v>
      </c>
      <c r="AA403" s="1">
        <v>201850000</v>
      </c>
      <c r="AB403" s="1">
        <v>34</v>
      </c>
    </row>
    <row r="404" spans="1:28" x14ac:dyDescent="0.15">
      <c r="A404" s="1">
        <v>1024</v>
      </c>
      <c r="B404" s="1" t="s">
        <v>7159</v>
      </c>
      <c r="F404" s="1" t="s">
        <v>5617</v>
      </c>
      <c r="G404" s="1" t="s">
        <v>5708</v>
      </c>
      <c r="H404" s="1" t="s">
        <v>5709</v>
      </c>
      <c r="J404" s="1" t="s">
        <v>4108</v>
      </c>
      <c r="L404" s="1" t="s">
        <v>4110</v>
      </c>
      <c r="M404" s="1" t="s">
        <v>6053</v>
      </c>
      <c r="N404" s="1" t="s">
        <v>4111</v>
      </c>
      <c r="P404" s="1" t="s">
        <v>4154</v>
      </c>
      <c r="Q404" s="3">
        <v>0</v>
      </c>
      <c r="S404" s="23" t="s">
        <v>5949</v>
      </c>
      <c r="T404" s="23" t="s">
        <v>4931</v>
      </c>
      <c r="U404" s="3">
        <v>34</v>
      </c>
      <c r="W404" s="45" t="str">
        <f>HYPERLINK("http://ictvonline.org/taxonomy/p/taxonomy-history?taxnode_id=201850036","ICTVonline=201850036")</f>
        <v>ICTVonline=201850036</v>
      </c>
      <c r="AA404" s="1">
        <v>201850000</v>
      </c>
      <c r="AB404" s="1">
        <v>34</v>
      </c>
    </row>
    <row r="405" spans="1:28" x14ac:dyDescent="0.15">
      <c r="A405" s="1">
        <v>1026</v>
      </c>
      <c r="B405" s="1" t="s">
        <v>7159</v>
      </c>
      <c r="F405" s="1" t="s">
        <v>5617</v>
      </c>
      <c r="G405" s="1" t="s">
        <v>5708</v>
      </c>
      <c r="H405" s="1" t="s">
        <v>5709</v>
      </c>
      <c r="J405" s="1" t="s">
        <v>4108</v>
      </c>
      <c r="L405" s="1" t="s">
        <v>4110</v>
      </c>
      <c r="M405" s="1" t="s">
        <v>6053</v>
      </c>
      <c r="N405" s="1" t="s">
        <v>4111</v>
      </c>
      <c r="P405" s="1" t="s">
        <v>4072</v>
      </c>
      <c r="Q405" s="3">
        <v>1</v>
      </c>
      <c r="S405" s="23" t="s">
        <v>5949</v>
      </c>
      <c r="T405" s="23" t="s">
        <v>4931</v>
      </c>
      <c r="U405" s="3">
        <v>34</v>
      </c>
      <c r="W405" s="45" t="str">
        <f>HYPERLINK("http://ictvonline.org/taxonomy/p/taxonomy-history?taxnode_id=201850037","ICTVonline=201850037")</f>
        <v>ICTVonline=201850037</v>
      </c>
      <c r="AA405" s="1">
        <v>201850000</v>
      </c>
      <c r="AB405" s="1">
        <v>34</v>
      </c>
    </row>
    <row r="406" spans="1:28" x14ac:dyDescent="0.15">
      <c r="A406" s="1">
        <v>1028</v>
      </c>
      <c r="B406" s="1" t="s">
        <v>7159</v>
      </c>
      <c r="F406" s="1" t="s">
        <v>5617</v>
      </c>
      <c r="G406" s="1" t="s">
        <v>5708</v>
      </c>
      <c r="H406" s="1" t="s">
        <v>5709</v>
      </c>
      <c r="J406" s="1" t="s">
        <v>4108</v>
      </c>
      <c r="L406" s="1" t="s">
        <v>4110</v>
      </c>
      <c r="M406" s="1" t="s">
        <v>6053</v>
      </c>
      <c r="N406" s="1" t="s">
        <v>4111</v>
      </c>
      <c r="P406" s="1" t="s">
        <v>4155</v>
      </c>
      <c r="Q406" s="3">
        <v>0</v>
      </c>
      <c r="S406" s="23" t="s">
        <v>5949</v>
      </c>
      <c r="T406" s="23" t="s">
        <v>4931</v>
      </c>
      <c r="U406" s="3">
        <v>34</v>
      </c>
      <c r="W406" s="45" t="str">
        <f>HYPERLINK("http://ictvonline.org/taxonomy/p/taxonomy-history?taxnode_id=201850039","ICTVonline=201850039")</f>
        <v>ICTVonline=201850039</v>
      </c>
      <c r="AA406" s="1">
        <v>201850000</v>
      </c>
      <c r="AB406" s="1">
        <v>34</v>
      </c>
    </row>
    <row r="407" spans="1:28" x14ac:dyDescent="0.15">
      <c r="A407" s="1">
        <v>1030</v>
      </c>
      <c r="B407" s="1" t="s">
        <v>7159</v>
      </c>
      <c r="F407" s="1" t="s">
        <v>5617</v>
      </c>
      <c r="G407" s="1" t="s">
        <v>5708</v>
      </c>
      <c r="H407" s="1" t="s">
        <v>5709</v>
      </c>
      <c r="J407" s="1" t="s">
        <v>4108</v>
      </c>
      <c r="L407" s="1" t="s">
        <v>4110</v>
      </c>
      <c r="M407" s="1" t="s">
        <v>6053</v>
      </c>
      <c r="N407" s="1" t="s">
        <v>4111</v>
      </c>
      <c r="P407" s="1" t="s">
        <v>4156</v>
      </c>
      <c r="Q407" s="3">
        <v>0</v>
      </c>
      <c r="S407" s="23" t="s">
        <v>5949</v>
      </c>
      <c r="T407" s="23" t="s">
        <v>4931</v>
      </c>
      <c r="U407" s="3">
        <v>34</v>
      </c>
      <c r="W407" s="45" t="str">
        <f>HYPERLINK("http://ictvonline.org/taxonomy/p/taxonomy-history?taxnode_id=201850040","ICTVonline=201850040")</f>
        <v>ICTVonline=201850040</v>
      </c>
      <c r="AA407" s="1">
        <v>201850000</v>
      </c>
      <c r="AB407" s="1">
        <v>34</v>
      </c>
    </row>
    <row r="408" spans="1:28" x14ac:dyDescent="0.15">
      <c r="A408" s="1">
        <v>1032</v>
      </c>
      <c r="B408" s="1" t="s">
        <v>7159</v>
      </c>
      <c r="F408" s="1" t="s">
        <v>5617</v>
      </c>
      <c r="G408" s="1" t="s">
        <v>5708</v>
      </c>
      <c r="H408" s="1" t="s">
        <v>5709</v>
      </c>
      <c r="J408" s="1" t="s">
        <v>4108</v>
      </c>
      <c r="L408" s="1" t="s">
        <v>4110</v>
      </c>
      <c r="M408" s="1" t="s">
        <v>6053</v>
      </c>
      <c r="N408" s="1" t="s">
        <v>4111</v>
      </c>
      <c r="P408" s="1" t="s">
        <v>4073</v>
      </c>
      <c r="Q408" s="3">
        <v>0</v>
      </c>
      <c r="S408" s="23" t="s">
        <v>5949</v>
      </c>
      <c r="T408" s="23" t="s">
        <v>4931</v>
      </c>
      <c r="U408" s="3">
        <v>34</v>
      </c>
      <c r="W408" s="45" t="str">
        <f>HYPERLINK("http://ictvonline.org/taxonomy/p/taxonomy-history?taxnode_id=201850041","ICTVonline=201850041")</f>
        <v>ICTVonline=201850041</v>
      </c>
      <c r="AA408" s="1">
        <v>201850000</v>
      </c>
      <c r="AB408" s="1">
        <v>34</v>
      </c>
    </row>
    <row r="409" spans="1:28" x14ac:dyDescent="0.15">
      <c r="A409" s="1">
        <v>1034</v>
      </c>
      <c r="B409" s="1" t="s">
        <v>7159</v>
      </c>
      <c r="F409" s="1" t="s">
        <v>5617</v>
      </c>
      <c r="G409" s="1" t="s">
        <v>5708</v>
      </c>
      <c r="H409" s="1" t="s">
        <v>5709</v>
      </c>
      <c r="J409" s="1" t="s">
        <v>4108</v>
      </c>
      <c r="L409" s="1" t="s">
        <v>4110</v>
      </c>
      <c r="M409" s="1" t="s">
        <v>6053</v>
      </c>
      <c r="N409" s="1" t="s">
        <v>4111</v>
      </c>
      <c r="P409" s="1" t="s">
        <v>4074</v>
      </c>
      <c r="Q409" s="3">
        <v>0</v>
      </c>
      <c r="S409" s="23" t="s">
        <v>5949</v>
      </c>
      <c r="T409" s="23" t="s">
        <v>4931</v>
      </c>
      <c r="U409" s="3">
        <v>34</v>
      </c>
      <c r="W409" s="45" t="str">
        <f>HYPERLINK("http://ictvonline.org/taxonomy/p/taxonomy-history?taxnode_id=201850042","ICTVonline=201850042")</f>
        <v>ICTVonline=201850042</v>
      </c>
      <c r="AA409" s="1">
        <v>201850000</v>
      </c>
      <c r="AB409" s="1">
        <v>34</v>
      </c>
    </row>
    <row r="410" spans="1:28" x14ac:dyDescent="0.15">
      <c r="A410" s="1">
        <v>1036</v>
      </c>
      <c r="B410" s="1" t="s">
        <v>7159</v>
      </c>
      <c r="F410" s="1" t="s">
        <v>5617</v>
      </c>
      <c r="G410" s="1" t="s">
        <v>5708</v>
      </c>
      <c r="H410" s="1" t="s">
        <v>5709</v>
      </c>
      <c r="J410" s="1" t="s">
        <v>4108</v>
      </c>
      <c r="L410" s="1" t="s">
        <v>4110</v>
      </c>
      <c r="M410" s="1" t="s">
        <v>6053</v>
      </c>
      <c r="N410" s="1" t="s">
        <v>4111</v>
      </c>
      <c r="P410" s="1" t="s">
        <v>4157</v>
      </c>
      <c r="Q410" s="3">
        <v>0</v>
      </c>
      <c r="S410" s="23" t="s">
        <v>5949</v>
      </c>
      <c r="T410" s="23" t="s">
        <v>4931</v>
      </c>
      <c r="U410" s="3">
        <v>34</v>
      </c>
      <c r="W410" s="45" t="str">
        <f>HYPERLINK("http://ictvonline.org/taxonomy/p/taxonomy-history?taxnode_id=201850045","ICTVonline=201850045")</f>
        <v>ICTVonline=201850045</v>
      </c>
      <c r="AA410" s="1">
        <v>201850000</v>
      </c>
      <c r="AB410" s="1">
        <v>34</v>
      </c>
    </row>
    <row r="411" spans="1:28" x14ac:dyDescent="0.15">
      <c r="A411" s="1">
        <v>1038</v>
      </c>
      <c r="B411" s="1" t="s">
        <v>7159</v>
      </c>
      <c r="F411" s="1" t="s">
        <v>5617</v>
      </c>
      <c r="G411" s="1" t="s">
        <v>5708</v>
      </c>
      <c r="H411" s="1" t="s">
        <v>5709</v>
      </c>
      <c r="J411" s="1" t="s">
        <v>4108</v>
      </c>
      <c r="L411" s="1" t="s">
        <v>4110</v>
      </c>
      <c r="M411" s="1" t="s">
        <v>6053</v>
      </c>
      <c r="N411" s="1" t="s">
        <v>4111</v>
      </c>
      <c r="P411" s="1" t="s">
        <v>4158</v>
      </c>
      <c r="Q411" s="3">
        <v>0</v>
      </c>
      <c r="S411" s="23" t="s">
        <v>5949</v>
      </c>
      <c r="T411" s="23" t="s">
        <v>4931</v>
      </c>
      <c r="U411" s="3">
        <v>34</v>
      </c>
      <c r="W411" s="45" t="str">
        <f>HYPERLINK("http://ictvonline.org/taxonomy/p/taxonomy-history?taxnode_id=201850046","ICTVonline=201850046")</f>
        <v>ICTVonline=201850046</v>
      </c>
      <c r="AA411" s="1">
        <v>201850000</v>
      </c>
      <c r="AB411" s="1">
        <v>34</v>
      </c>
    </row>
    <row r="412" spans="1:28" x14ac:dyDescent="0.15">
      <c r="A412" s="1">
        <v>1040</v>
      </c>
      <c r="B412" s="1" t="s">
        <v>7159</v>
      </c>
      <c r="F412" s="1" t="s">
        <v>5617</v>
      </c>
      <c r="G412" s="1" t="s">
        <v>5708</v>
      </c>
      <c r="H412" s="1" t="s">
        <v>5709</v>
      </c>
      <c r="J412" s="1" t="s">
        <v>4108</v>
      </c>
      <c r="L412" s="1" t="s">
        <v>4110</v>
      </c>
      <c r="M412" s="1" t="s">
        <v>6053</v>
      </c>
      <c r="N412" s="1" t="s">
        <v>4111</v>
      </c>
      <c r="P412" s="1" t="s">
        <v>4159</v>
      </c>
      <c r="Q412" s="3">
        <v>0</v>
      </c>
      <c r="S412" s="23" t="s">
        <v>5949</v>
      </c>
      <c r="T412" s="23" t="s">
        <v>4931</v>
      </c>
      <c r="U412" s="3">
        <v>34</v>
      </c>
      <c r="W412" s="45" t="str">
        <f>HYPERLINK("http://ictvonline.org/taxonomy/p/taxonomy-history?taxnode_id=201850047","ICTVonline=201850047")</f>
        <v>ICTVonline=201850047</v>
      </c>
      <c r="AA412" s="1">
        <v>201850000</v>
      </c>
      <c r="AB412" s="1">
        <v>34</v>
      </c>
    </row>
    <row r="413" spans="1:28" x14ac:dyDescent="0.15">
      <c r="A413" s="1">
        <v>1042</v>
      </c>
      <c r="B413" s="1" t="s">
        <v>7159</v>
      </c>
      <c r="F413" s="1" t="s">
        <v>5617</v>
      </c>
      <c r="G413" s="1" t="s">
        <v>5708</v>
      </c>
      <c r="H413" s="1" t="s">
        <v>5709</v>
      </c>
      <c r="J413" s="1" t="s">
        <v>4108</v>
      </c>
      <c r="L413" s="1" t="s">
        <v>4110</v>
      </c>
      <c r="M413" s="1" t="s">
        <v>6053</v>
      </c>
      <c r="N413" s="1" t="s">
        <v>4111</v>
      </c>
      <c r="P413" s="1" t="s">
        <v>4160</v>
      </c>
      <c r="Q413" s="3">
        <v>0</v>
      </c>
      <c r="S413" s="23" t="s">
        <v>5949</v>
      </c>
      <c r="T413" s="23" t="s">
        <v>4931</v>
      </c>
      <c r="U413" s="3">
        <v>34</v>
      </c>
      <c r="W413" s="45" t="str">
        <f>HYPERLINK("http://ictvonline.org/taxonomy/p/taxonomy-history?taxnode_id=201850048","ICTVonline=201850048")</f>
        <v>ICTVonline=201850048</v>
      </c>
      <c r="AA413" s="1">
        <v>201850000</v>
      </c>
      <c r="AB413" s="1">
        <v>34</v>
      </c>
    </row>
    <row r="414" spans="1:28" x14ac:dyDescent="0.15">
      <c r="A414" s="1">
        <v>1044</v>
      </c>
      <c r="B414" s="1" t="s">
        <v>7159</v>
      </c>
      <c r="F414" s="1" t="s">
        <v>5617</v>
      </c>
      <c r="G414" s="1" t="s">
        <v>5708</v>
      </c>
      <c r="H414" s="1" t="s">
        <v>5709</v>
      </c>
      <c r="J414" s="1" t="s">
        <v>4108</v>
      </c>
      <c r="L414" s="1" t="s">
        <v>4110</v>
      </c>
      <c r="M414" s="1" t="s">
        <v>6053</v>
      </c>
      <c r="N414" s="1" t="s">
        <v>4111</v>
      </c>
      <c r="P414" s="1" t="s">
        <v>4161</v>
      </c>
      <c r="Q414" s="3">
        <v>0</v>
      </c>
      <c r="S414" s="23" t="s">
        <v>5949</v>
      </c>
      <c r="T414" s="23" t="s">
        <v>4931</v>
      </c>
      <c r="U414" s="3">
        <v>34</v>
      </c>
      <c r="W414" s="45" t="str">
        <f>HYPERLINK("http://ictvonline.org/taxonomy/p/taxonomy-history?taxnode_id=201850050","ICTVonline=201850050")</f>
        <v>ICTVonline=201850050</v>
      </c>
      <c r="AA414" s="1">
        <v>201850000</v>
      </c>
      <c r="AB414" s="1">
        <v>34</v>
      </c>
    </row>
    <row r="415" spans="1:28" x14ac:dyDescent="0.15">
      <c r="A415" s="1">
        <v>1046</v>
      </c>
      <c r="B415" s="1" t="s">
        <v>7159</v>
      </c>
      <c r="F415" s="1" t="s">
        <v>5617</v>
      </c>
      <c r="G415" s="1" t="s">
        <v>5708</v>
      </c>
      <c r="H415" s="1" t="s">
        <v>5709</v>
      </c>
      <c r="J415" s="1" t="s">
        <v>4108</v>
      </c>
      <c r="L415" s="1" t="s">
        <v>4110</v>
      </c>
      <c r="M415" s="1" t="s">
        <v>6053</v>
      </c>
      <c r="N415" s="1" t="s">
        <v>4111</v>
      </c>
      <c r="P415" s="1" t="s">
        <v>4075</v>
      </c>
      <c r="Q415" s="3">
        <v>0</v>
      </c>
      <c r="S415" s="23" t="s">
        <v>5949</v>
      </c>
      <c r="T415" s="23" t="s">
        <v>4931</v>
      </c>
      <c r="U415" s="3">
        <v>34</v>
      </c>
      <c r="W415" s="45" t="str">
        <f>HYPERLINK("http://ictvonline.org/taxonomy/p/taxonomy-history?taxnode_id=201850051","ICTVonline=201850051")</f>
        <v>ICTVonline=201850051</v>
      </c>
      <c r="AA415" s="1">
        <v>201850000</v>
      </c>
      <c r="AB415" s="1">
        <v>34</v>
      </c>
    </row>
    <row r="416" spans="1:28" x14ac:dyDescent="0.15">
      <c r="A416" s="1">
        <v>1048</v>
      </c>
      <c r="B416" s="1" t="s">
        <v>7159</v>
      </c>
      <c r="F416" s="1" t="s">
        <v>5617</v>
      </c>
      <c r="G416" s="1" t="s">
        <v>5708</v>
      </c>
      <c r="H416" s="1" t="s">
        <v>5709</v>
      </c>
      <c r="J416" s="1" t="s">
        <v>4108</v>
      </c>
      <c r="L416" s="1" t="s">
        <v>4110</v>
      </c>
      <c r="M416" s="1" t="s">
        <v>6053</v>
      </c>
      <c r="N416" s="1" t="s">
        <v>4111</v>
      </c>
      <c r="P416" s="1" t="s">
        <v>4076</v>
      </c>
      <c r="Q416" s="3">
        <v>0</v>
      </c>
      <c r="S416" s="23" t="s">
        <v>5949</v>
      </c>
      <c r="T416" s="23" t="s">
        <v>4931</v>
      </c>
      <c r="U416" s="3">
        <v>34</v>
      </c>
      <c r="W416" s="45" t="str">
        <f>HYPERLINK("http://ictvonline.org/taxonomy/p/taxonomy-history?taxnode_id=201850052","ICTVonline=201850052")</f>
        <v>ICTVonline=201850052</v>
      </c>
      <c r="AA416" s="1">
        <v>201850000</v>
      </c>
      <c r="AB416" s="1">
        <v>34</v>
      </c>
    </row>
    <row r="417" spans="1:28" x14ac:dyDescent="0.15">
      <c r="A417" s="1">
        <v>1050</v>
      </c>
      <c r="B417" s="1" t="s">
        <v>7159</v>
      </c>
      <c r="F417" s="1" t="s">
        <v>5617</v>
      </c>
      <c r="G417" s="1" t="s">
        <v>5708</v>
      </c>
      <c r="H417" s="1" t="s">
        <v>5709</v>
      </c>
      <c r="J417" s="1" t="s">
        <v>4108</v>
      </c>
      <c r="L417" s="1" t="s">
        <v>4110</v>
      </c>
      <c r="M417" s="1" t="s">
        <v>6053</v>
      </c>
      <c r="N417" s="1" t="s">
        <v>4111</v>
      </c>
      <c r="P417" s="1" t="s">
        <v>4162</v>
      </c>
      <c r="Q417" s="3">
        <v>0</v>
      </c>
      <c r="S417" s="23" t="s">
        <v>5949</v>
      </c>
      <c r="T417" s="23" t="s">
        <v>4931</v>
      </c>
      <c r="U417" s="3">
        <v>34</v>
      </c>
      <c r="W417" s="45" t="str">
        <f>HYPERLINK("http://ictvonline.org/taxonomy/p/taxonomy-history?taxnode_id=201850054","ICTVonline=201850054")</f>
        <v>ICTVonline=201850054</v>
      </c>
      <c r="AA417" s="1">
        <v>201850000</v>
      </c>
      <c r="AB417" s="1">
        <v>34</v>
      </c>
    </row>
    <row r="418" spans="1:28" x14ac:dyDescent="0.15">
      <c r="A418" s="1">
        <v>1052</v>
      </c>
      <c r="B418" s="1" t="s">
        <v>7159</v>
      </c>
      <c r="F418" s="1" t="s">
        <v>5617</v>
      </c>
      <c r="G418" s="1" t="s">
        <v>5708</v>
      </c>
      <c r="H418" s="1" t="s">
        <v>5709</v>
      </c>
      <c r="J418" s="1" t="s">
        <v>4108</v>
      </c>
      <c r="L418" s="1" t="s">
        <v>4110</v>
      </c>
      <c r="M418" s="1" t="s">
        <v>6053</v>
      </c>
      <c r="N418" s="1" t="s">
        <v>4111</v>
      </c>
      <c r="P418" s="1" t="s">
        <v>4077</v>
      </c>
      <c r="Q418" s="3">
        <v>0</v>
      </c>
      <c r="S418" s="23" t="s">
        <v>5949</v>
      </c>
      <c r="T418" s="23" t="s">
        <v>4931</v>
      </c>
      <c r="U418" s="3">
        <v>34</v>
      </c>
      <c r="W418" s="45" t="str">
        <f>HYPERLINK("http://ictvonline.org/taxonomy/p/taxonomy-history?taxnode_id=201850055","ICTVonline=201850055")</f>
        <v>ICTVonline=201850055</v>
      </c>
      <c r="AA418" s="1">
        <v>201850000</v>
      </c>
      <c r="AB418" s="1">
        <v>34</v>
      </c>
    </row>
    <row r="419" spans="1:28" x14ac:dyDescent="0.15">
      <c r="A419" s="1">
        <v>1054</v>
      </c>
      <c r="B419" s="1" t="s">
        <v>7159</v>
      </c>
      <c r="F419" s="1" t="s">
        <v>5617</v>
      </c>
      <c r="G419" s="1" t="s">
        <v>5708</v>
      </c>
      <c r="H419" s="1" t="s">
        <v>5709</v>
      </c>
      <c r="J419" s="1" t="s">
        <v>4108</v>
      </c>
      <c r="L419" s="1" t="s">
        <v>4110</v>
      </c>
      <c r="M419" s="1" t="s">
        <v>6053</v>
      </c>
      <c r="N419" s="1" t="s">
        <v>4111</v>
      </c>
      <c r="P419" s="1" t="s">
        <v>6054</v>
      </c>
      <c r="Q419" s="3">
        <v>0</v>
      </c>
      <c r="S419" s="23" t="s">
        <v>5949</v>
      </c>
      <c r="W419" s="45" t="str">
        <f>HYPERLINK("http://ictvonline.org/taxonomy/p/taxonomy-history?taxnode_id=201850021","ICTVonline=201850021")</f>
        <v>ICTVonline=201850021</v>
      </c>
      <c r="AA419" s="1">
        <v>201850000</v>
      </c>
      <c r="AB419" s="1">
        <v>34</v>
      </c>
    </row>
    <row r="420" spans="1:28" x14ac:dyDescent="0.15">
      <c r="A420" s="1">
        <v>1056</v>
      </c>
      <c r="B420" s="1" t="s">
        <v>7159</v>
      </c>
      <c r="F420" s="1" t="s">
        <v>5617</v>
      </c>
      <c r="G420" s="1" t="s">
        <v>5708</v>
      </c>
      <c r="H420" s="1" t="s">
        <v>5709</v>
      </c>
      <c r="J420" s="1" t="s">
        <v>4108</v>
      </c>
      <c r="L420" s="1" t="s">
        <v>4110</v>
      </c>
      <c r="M420" s="1" t="s">
        <v>6053</v>
      </c>
      <c r="N420" s="1" t="s">
        <v>4111</v>
      </c>
      <c r="P420" s="1" t="s">
        <v>4078</v>
      </c>
      <c r="Q420" s="3">
        <v>0</v>
      </c>
      <c r="S420" s="23" t="s">
        <v>5949</v>
      </c>
      <c r="T420" s="23" t="s">
        <v>4931</v>
      </c>
      <c r="U420" s="3">
        <v>34</v>
      </c>
      <c r="W420" s="45" t="str">
        <f>HYPERLINK("http://ictvonline.org/taxonomy/p/taxonomy-history?taxnode_id=201850056","ICTVonline=201850056")</f>
        <v>ICTVonline=201850056</v>
      </c>
      <c r="AA420" s="1">
        <v>201850000</v>
      </c>
      <c r="AB420" s="1">
        <v>34</v>
      </c>
    </row>
    <row r="421" spans="1:28" x14ac:dyDescent="0.15">
      <c r="A421" s="1">
        <v>1058</v>
      </c>
      <c r="B421" s="1" t="s">
        <v>7159</v>
      </c>
      <c r="F421" s="1" t="s">
        <v>5617</v>
      </c>
      <c r="G421" s="1" t="s">
        <v>5708</v>
      </c>
      <c r="H421" s="1" t="s">
        <v>5709</v>
      </c>
      <c r="J421" s="1" t="s">
        <v>4108</v>
      </c>
      <c r="L421" s="1" t="s">
        <v>4110</v>
      </c>
      <c r="M421" s="1" t="s">
        <v>6053</v>
      </c>
      <c r="N421" s="1" t="s">
        <v>4111</v>
      </c>
      <c r="P421" s="1" t="s">
        <v>4079</v>
      </c>
      <c r="Q421" s="3">
        <v>0</v>
      </c>
      <c r="S421" s="23" t="s">
        <v>5949</v>
      </c>
      <c r="T421" s="23" t="s">
        <v>4931</v>
      </c>
      <c r="U421" s="3">
        <v>34</v>
      </c>
      <c r="W421" s="45" t="str">
        <f>HYPERLINK("http://ictvonline.org/taxonomy/p/taxonomy-history?taxnode_id=201850057","ICTVonline=201850057")</f>
        <v>ICTVonline=201850057</v>
      </c>
      <c r="AA421" s="1">
        <v>201850000</v>
      </c>
      <c r="AB421" s="1">
        <v>34</v>
      </c>
    </row>
    <row r="422" spans="1:28" x14ac:dyDescent="0.15">
      <c r="A422" s="1">
        <v>1060</v>
      </c>
      <c r="B422" s="1" t="s">
        <v>7159</v>
      </c>
      <c r="F422" s="1" t="s">
        <v>5617</v>
      </c>
      <c r="G422" s="1" t="s">
        <v>5708</v>
      </c>
      <c r="H422" s="1" t="s">
        <v>5709</v>
      </c>
      <c r="J422" s="1" t="s">
        <v>4108</v>
      </c>
      <c r="L422" s="1" t="s">
        <v>4110</v>
      </c>
      <c r="M422" s="1" t="s">
        <v>6053</v>
      </c>
      <c r="N422" s="1" t="s">
        <v>4111</v>
      </c>
      <c r="P422" s="1" t="s">
        <v>4080</v>
      </c>
      <c r="Q422" s="3">
        <v>0</v>
      </c>
      <c r="S422" s="23" t="s">
        <v>5949</v>
      </c>
      <c r="T422" s="23" t="s">
        <v>4931</v>
      </c>
      <c r="U422" s="3">
        <v>34</v>
      </c>
      <c r="W422" s="45" t="str">
        <f>HYPERLINK("http://ictvonline.org/taxonomy/p/taxonomy-history?taxnode_id=201850058","ICTVonline=201850058")</f>
        <v>ICTVonline=201850058</v>
      </c>
      <c r="AA422" s="1">
        <v>201850000</v>
      </c>
      <c r="AB422" s="1">
        <v>34</v>
      </c>
    </row>
    <row r="423" spans="1:28" x14ac:dyDescent="0.15">
      <c r="A423" s="1">
        <v>1062</v>
      </c>
      <c r="B423" s="1" t="s">
        <v>7159</v>
      </c>
      <c r="F423" s="1" t="s">
        <v>5617</v>
      </c>
      <c r="G423" s="1" t="s">
        <v>5708</v>
      </c>
      <c r="H423" s="1" t="s">
        <v>5709</v>
      </c>
      <c r="J423" s="1" t="s">
        <v>4108</v>
      </c>
      <c r="L423" s="1" t="s">
        <v>4110</v>
      </c>
      <c r="M423" s="1" t="s">
        <v>6053</v>
      </c>
      <c r="N423" s="1" t="s">
        <v>4111</v>
      </c>
      <c r="P423" s="1" t="s">
        <v>6055</v>
      </c>
      <c r="Q423" s="3">
        <v>0</v>
      </c>
      <c r="S423" s="23" t="s">
        <v>5949</v>
      </c>
      <c r="T423" s="23" t="s">
        <v>4929</v>
      </c>
      <c r="U423" s="3">
        <v>34</v>
      </c>
      <c r="V423" s="3" t="s">
        <v>6047</v>
      </c>
      <c r="W423" s="45" t="str">
        <f>HYPERLINK("http://ictvonline.org/taxonomy/p/taxonomy-history?taxnode_id=201856435","ICTVonline=201856435")</f>
        <v>ICTVonline=201856435</v>
      </c>
      <c r="AA423" s="1">
        <v>201850000</v>
      </c>
      <c r="AB423" s="1">
        <v>34</v>
      </c>
    </row>
    <row r="424" spans="1:28" x14ac:dyDescent="0.15">
      <c r="A424" s="1">
        <v>1064</v>
      </c>
      <c r="B424" s="1" t="s">
        <v>7159</v>
      </c>
      <c r="F424" s="1" t="s">
        <v>5617</v>
      </c>
      <c r="G424" s="1" t="s">
        <v>5708</v>
      </c>
      <c r="H424" s="1" t="s">
        <v>5709</v>
      </c>
      <c r="J424" s="1" t="s">
        <v>4108</v>
      </c>
      <c r="L424" s="1" t="s">
        <v>4110</v>
      </c>
      <c r="M424" s="1" t="s">
        <v>6053</v>
      </c>
      <c r="N424" s="1" t="s">
        <v>4111</v>
      </c>
      <c r="P424" s="1" t="s">
        <v>4081</v>
      </c>
      <c r="Q424" s="3">
        <v>0</v>
      </c>
      <c r="S424" s="23" t="s">
        <v>5949</v>
      </c>
      <c r="T424" s="23" t="s">
        <v>4931</v>
      </c>
      <c r="U424" s="3">
        <v>34</v>
      </c>
      <c r="W424" s="45" t="str">
        <f>HYPERLINK("http://ictvonline.org/taxonomy/p/taxonomy-history?taxnode_id=201850060","ICTVonline=201850060")</f>
        <v>ICTVonline=201850060</v>
      </c>
      <c r="AA424" s="1">
        <v>201850000</v>
      </c>
      <c r="AB424" s="1">
        <v>34</v>
      </c>
    </row>
    <row r="425" spans="1:28" x14ac:dyDescent="0.15">
      <c r="A425" s="1">
        <v>1066</v>
      </c>
      <c r="B425" s="1" t="s">
        <v>7159</v>
      </c>
      <c r="F425" s="1" t="s">
        <v>5617</v>
      </c>
      <c r="G425" s="1" t="s">
        <v>5708</v>
      </c>
      <c r="H425" s="1" t="s">
        <v>5709</v>
      </c>
      <c r="J425" s="1" t="s">
        <v>4108</v>
      </c>
      <c r="L425" s="1" t="s">
        <v>4110</v>
      </c>
      <c r="M425" s="1" t="s">
        <v>6053</v>
      </c>
      <c r="N425" s="1" t="s">
        <v>4111</v>
      </c>
      <c r="P425" s="1" t="s">
        <v>4163</v>
      </c>
      <c r="Q425" s="3">
        <v>0</v>
      </c>
      <c r="S425" s="23" t="s">
        <v>5949</v>
      </c>
      <c r="T425" s="23" t="s">
        <v>4931</v>
      </c>
      <c r="U425" s="3">
        <v>34</v>
      </c>
      <c r="W425" s="45" t="str">
        <f>HYPERLINK("http://ictvonline.org/taxonomy/p/taxonomy-history?taxnode_id=201850061","ICTVonline=201850061")</f>
        <v>ICTVonline=201850061</v>
      </c>
      <c r="AA425" s="1">
        <v>201850000</v>
      </c>
      <c r="AB425" s="1">
        <v>34</v>
      </c>
    </row>
    <row r="426" spans="1:28" x14ac:dyDescent="0.15">
      <c r="A426" s="1">
        <v>1070</v>
      </c>
      <c r="B426" s="1" t="s">
        <v>7159</v>
      </c>
      <c r="F426" s="1" t="s">
        <v>5617</v>
      </c>
      <c r="G426" s="1" t="s">
        <v>5708</v>
      </c>
      <c r="H426" s="1" t="s">
        <v>5709</v>
      </c>
      <c r="J426" s="1" t="s">
        <v>4108</v>
      </c>
      <c r="L426" s="1" t="s">
        <v>4110</v>
      </c>
      <c r="M426" s="1" t="s">
        <v>6053</v>
      </c>
      <c r="N426" s="1" t="s">
        <v>5719</v>
      </c>
      <c r="P426" s="1" t="s">
        <v>5720</v>
      </c>
      <c r="Q426" s="3">
        <v>0</v>
      </c>
      <c r="S426" s="23" t="s">
        <v>5949</v>
      </c>
      <c r="T426" s="23" t="s">
        <v>4931</v>
      </c>
      <c r="U426" s="3">
        <v>34</v>
      </c>
      <c r="W426" s="45" t="str">
        <f>HYPERLINK("http://ictvonline.org/taxonomy/p/taxonomy-history?taxnode_id=201850038","ICTVonline=201850038")</f>
        <v>ICTVonline=201850038</v>
      </c>
      <c r="AA426" s="1">
        <v>201850000</v>
      </c>
      <c r="AB426" s="1">
        <v>34</v>
      </c>
    </row>
    <row r="427" spans="1:28" x14ac:dyDescent="0.15">
      <c r="A427" s="1">
        <v>1072</v>
      </c>
      <c r="B427" s="1" t="s">
        <v>7159</v>
      </c>
      <c r="F427" s="1" t="s">
        <v>5617</v>
      </c>
      <c r="G427" s="1" t="s">
        <v>5708</v>
      </c>
      <c r="H427" s="1" t="s">
        <v>5709</v>
      </c>
      <c r="J427" s="1" t="s">
        <v>4108</v>
      </c>
      <c r="L427" s="1" t="s">
        <v>4110</v>
      </c>
      <c r="M427" s="1" t="s">
        <v>6053</v>
      </c>
      <c r="N427" s="1" t="s">
        <v>5719</v>
      </c>
      <c r="P427" s="1" t="s">
        <v>5721</v>
      </c>
      <c r="Q427" s="3">
        <v>1</v>
      </c>
      <c r="S427" s="23" t="s">
        <v>5949</v>
      </c>
      <c r="T427" s="23" t="s">
        <v>4931</v>
      </c>
      <c r="U427" s="3">
        <v>34</v>
      </c>
      <c r="W427" s="45" t="str">
        <f>HYPERLINK("http://ictvonline.org/taxonomy/p/taxonomy-history?taxnode_id=201850059","ICTVonline=201850059")</f>
        <v>ICTVonline=201850059</v>
      </c>
      <c r="AA427" s="1">
        <v>201850000</v>
      </c>
      <c r="AB427" s="1">
        <v>34</v>
      </c>
    </row>
    <row r="428" spans="1:28" x14ac:dyDescent="0.15">
      <c r="A428" s="1">
        <v>1078</v>
      </c>
      <c r="B428" s="1" t="s">
        <v>7159</v>
      </c>
      <c r="F428" s="1" t="s">
        <v>5617</v>
      </c>
      <c r="G428" s="1" t="s">
        <v>5708</v>
      </c>
      <c r="H428" s="1" t="s">
        <v>5709</v>
      </c>
      <c r="J428" s="1" t="s">
        <v>4108</v>
      </c>
      <c r="L428" s="1" t="s">
        <v>4110</v>
      </c>
      <c r="M428" s="1" t="s">
        <v>6056</v>
      </c>
      <c r="N428" s="1" t="s">
        <v>6057</v>
      </c>
      <c r="P428" s="1" t="s">
        <v>6058</v>
      </c>
      <c r="Q428" s="3">
        <v>1</v>
      </c>
      <c r="S428" s="23" t="s">
        <v>5949</v>
      </c>
      <c r="T428" s="23" t="s">
        <v>4929</v>
      </c>
      <c r="U428" s="3">
        <v>34</v>
      </c>
      <c r="V428" s="3" t="s">
        <v>6047</v>
      </c>
      <c r="W428" s="45" t="str">
        <f>HYPERLINK("http://ictvonline.org/taxonomy/p/taxonomy-history?taxnode_id=201856438","ICTVonline=201856438")</f>
        <v>ICTVonline=201856438</v>
      </c>
      <c r="AA428" s="1">
        <v>201850000</v>
      </c>
      <c r="AB428" s="1">
        <v>34</v>
      </c>
    </row>
    <row r="429" spans="1:28" x14ac:dyDescent="0.15">
      <c r="A429" s="1">
        <v>1085</v>
      </c>
      <c r="B429" s="1" t="s">
        <v>7159</v>
      </c>
      <c r="F429" s="1" t="s">
        <v>5617</v>
      </c>
      <c r="G429" s="1" t="s">
        <v>5708</v>
      </c>
      <c r="H429" s="1" t="s">
        <v>5709</v>
      </c>
      <c r="J429" s="1" t="s">
        <v>4108</v>
      </c>
      <c r="L429" s="1" t="s">
        <v>6059</v>
      </c>
      <c r="N429" s="1" t="s">
        <v>6060</v>
      </c>
      <c r="P429" s="1" t="s">
        <v>6061</v>
      </c>
      <c r="Q429" s="3">
        <v>1</v>
      </c>
      <c r="S429" s="23" t="s">
        <v>5949</v>
      </c>
      <c r="T429" s="23" t="s">
        <v>4929</v>
      </c>
      <c r="U429" s="3">
        <v>34</v>
      </c>
      <c r="V429" s="3" t="s">
        <v>6062</v>
      </c>
      <c r="W429" s="45" t="str">
        <f>HYPERLINK("http://ictvonline.org/taxonomy/p/taxonomy-history?taxnode_id=201856595","ICTVonline=201856595")</f>
        <v>ICTVonline=201856595</v>
      </c>
      <c r="AA429" s="1">
        <v>201850000</v>
      </c>
      <c r="AB429" s="1">
        <v>34</v>
      </c>
    </row>
    <row r="430" spans="1:28" x14ac:dyDescent="0.15">
      <c r="A430" s="1">
        <v>1091</v>
      </c>
      <c r="B430" s="1" t="s">
        <v>7159</v>
      </c>
      <c r="F430" s="1" t="s">
        <v>5617</v>
      </c>
      <c r="G430" s="1" t="s">
        <v>5708</v>
      </c>
      <c r="H430" s="1" t="s">
        <v>5709</v>
      </c>
      <c r="J430" s="1" t="s">
        <v>4108</v>
      </c>
      <c r="L430" s="1" t="s">
        <v>5722</v>
      </c>
      <c r="N430" s="1" t="s">
        <v>5723</v>
      </c>
      <c r="P430" s="1" t="s">
        <v>5724</v>
      </c>
      <c r="Q430" s="3">
        <v>1</v>
      </c>
      <c r="S430" s="23" t="s">
        <v>5949</v>
      </c>
      <c r="T430" s="23" t="s">
        <v>4931</v>
      </c>
      <c r="U430" s="3">
        <v>34</v>
      </c>
      <c r="W430" s="45" t="str">
        <f>HYPERLINK("http://ictvonline.org/taxonomy/p/taxonomy-history?taxnode_id=201856215","ICTVonline=201856215")</f>
        <v>ICTVonline=201856215</v>
      </c>
      <c r="AA430" s="1">
        <v>201850000</v>
      </c>
      <c r="AB430" s="1">
        <v>34</v>
      </c>
    </row>
    <row r="431" spans="1:28" x14ac:dyDescent="0.15">
      <c r="A431" s="1">
        <v>1097</v>
      </c>
      <c r="B431" s="1" t="s">
        <v>7159</v>
      </c>
      <c r="F431" s="1" t="s">
        <v>5617</v>
      </c>
      <c r="G431" s="1" t="s">
        <v>5708</v>
      </c>
      <c r="H431" s="1" t="s">
        <v>5709</v>
      </c>
      <c r="J431" s="1" t="s">
        <v>4108</v>
      </c>
      <c r="L431" s="1" t="s">
        <v>4112</v>
      </c>
      <c r="N431" s="1" t="s">
        <v>4113</v>
      </c>
      <c r="P431" s="1" t="s">
        <v>4998</v>
      </c>
      <c r="Q431" s="3">
        <v>0</v>
      </c>
      <c r="S431" s="23" t="s">
        <v>5949</v>
      </c>
      <c r="T431" s="23" t="s">
        <v>4931</v>
      </c>
      <c r="U431" s="3">
        <v>34</v>
      </c>
      <c r="W431" s="45" t="str">
        <f>HYPERLINK("http://ictvonline.org/taxonomy/p/taxonomy-history?taxnode_id=201855462","ICTVonline=201855462")</f>
        <v>ICTVonline=201855462</v>
      </c>
      <c r="AA431" s="1">
        <v>201850000</v>
      </c>
      <c r="AB431" s="1">
        <v>34</v>
      </c>
    </row>
    <row r="432" spans="1:28" x14ac:dyDescent="0.15">
      <c r="A432" s="1">
        <v>1099</v>
      </c>
      <c r="B432" s="1" t="s">
        <v>7159</v>
      </c>
      <c r="F432" s="1" t="s">
        <v>5617</v>
      </c>
      <c r="G432" s="1" t="s">
        <v>5708</v>
      </c>
      <c r="H432" s="1" t="s">
        <v>5709</v>
      </c>
      <c r="J432" s="1" t="s">
        <v>4108</v>
      </c>
      <c r="L432" s="1" t="s">
        <v>4112</v>
      </c>
      <c r="N432" s="1" t="s">
        <v>4113</v>
      </c>
      <c r="P432" s="1" t="s">
        <v>4999</v>
      </c>
      <c r="Q432" s="3">
        <v>0</v>
      </c>
      <c r="S432" s="23" t="s">
        <v>5949</v>
      </c>
      <c r="T432" s="23" t="s">
        <v>4931</v>
      </c>
      <c r="U432" s="3">
        <v>34</v>
      </c>
      <c r="W432" s="45" t="str">
        <f>HYPERLINK("http://ictvonline.org/taxonomy/p/taxonomy-history?taxnode_id=201855463","ICTVonline=201855463")</f>
        <v>ICTVonline=201855463</v>
      </c>
      <c r="AA432" s="1">
        <v>201850000</v>
      </c>
      <c r="AB432" s="1">
        <v>34</v>
      </c>
    </row>
    <row r="433" spans="1:28" x14ac:dyDescent="0.15">
      <c r="A433" s="1">
        <v>1101</v>
      </c>
      <c r="B433" s="1" t="s">
        <v>7159</v>
      </c>
      <c r="F433" s="1" t="s">
        <v>5617</v>
      </c>
      <c r="G433" s="1" t="s">
        <v>5708</v>
      </c>
      <c r="H433" s="1" t="s">
        <v>5709</v>
      </c>
      <c r="J433" s="1" t="s">
        <v>4108</v>
      </c>
      <c r="L433" s="1" t="s">
        <v>4112</v>
      </c>
      <c r="N433" s="1" t="s">
        <v>4113</v>
      </c>
      <c r="P433" s="1" t="s">
        <v>4082</v>
      </c>
      <c r="Q433" s="3">
        <v>0</v>
      </c>
      <c r="S433" s="23" t="s">
        <v>5949</v>
      </c>
      <c r="T433" s="23" t="s">
        <v>4931</v>
      </c>
      <c r="U433" s="3">
        <v>34</v>
      </c>
      <c r="W433" s="45" t="str">
        <f>HYPERLINK("http://ictvonline.org/taxonomy/p/taxonomy-history?taxnode_id=201850070","ICTVonline=201850070")</f>
        <v>ICTVonline=201850070</v>
      </c>
      <c r="AA433" s="1">
        <v>201850000</v>
      </c>
      <c r="AB433" s="1">
        <v>34</v>
      </c>
    </row>
    <row r="434" spans="1:28" x14ac:dyDescent="0.15">
      <c r="A434" s="1">
        <v>1103</v>
      </c>
      <c r="B434" s="1" t="s">
        <v>7159</v>
      </c>
      <c r="F434" s="1" t="s">
        <v>5617</v>
      </c>
      <c r="G434" s="1" t="s">
        <v>5708</v>
      </c>
      <c r="H434" s="1" t="s">
        <v>5709</v>
      </c>
      <c r="J434" s="1" t="s">
        <v>4108</v>
      </c>
      <c r="L434" s="1" t="s">
        <v>4112</v>
      </c>
      <c r="N434" s="1" t="s">
        <v>4113</v>
      </c>
      <c r="P434" s="1" t="s">
        <v>4083</v>
      </c>
      <c r="Q434" s="3">
        <v>0</v>
      </c>
      <c r="S434" s="23" t="s">
        <v>5949</v>
      </c>
      <c r="T434" s="23" t="s">
        <v>4931</v>
      </c>
      <c r="U434" s="3">
        <v>34</v>
      </c>
      <c r="W434" s="45" t="str">
        <f>HYPERLINK("http://ictvonline.org/taxonomy/p/taxonomy-history?taxnode_id=201850071","ICTVonline=201850071")</f>
        <v>ICTVonline=201850071</v>
      </c>
      <c r="AA434" s="1">
        <v>201850000</v>
      </c>
      <c r="AB434" s="1">
        <v>34</v>
      </c>
    </row>
    <row r="435" spans="1:28" x14ac:dyDescent="0.15">
      <c r="A435" s="1">
        <v>1105</v>
      </c>
      <c r="B435" s="1" t="s">
        <v>7159</v>
      </c>
      <c r="F435" s="1" t="s">
        <v>5617</v>
      </c>
      <c r="G435" s="1" t="s">
        <v>5708</v>
      </c>
      <c r="H435" s="1" t="s">
        <v>5709</v>
      </c>
      <c r="J435" s="1" t="s">
        <v>4108</v>
      </c>
      <c r="L435" s="1" t="s">
        <v>4112</v>
      </c>
      <c r="N435" s="1" t="s">
        <v>4113</v>
      </c>
      <c r="P435" s="1" t="s">
        <v>4084</v>
      </c>
      <c r="Q435" s="3">
        <v>1</v>
      </c>
      <c r="S435" s="23" t="s">
        <v>5949</v>
      </c>
      <c r="T435" s="23" t="s">
        <v>4931</v>
      </c>
      <c r="U435" s="3">
        <v>34</v>
      </c>
      <c r="W435" s="45" t="str">
        <f>HYPERLINK("http://ictvonline.org/taxonomy/p/taxonomy-history?taxnode_id=201850072","ICTVonline=201850072")</f>
        <v>ICTVonline=201850072</v>
      </c>
      <c r="AA435" s="1">
        <v>201850000</v>
      </c>
      <c r="AB435" s="1">
        <v>34</v>
      </c>
    </row>
    <row r="436" spans="1:28" x14ac:dyDescent="0.15">
      <c r="A436" s="1">
        <v>1107</v>
      </c>
      <c r="B436" s="1" t="s">
        <v>7159</v>
      </c>
      <c r="F436" s="1" t="s">
        <v>5617</v>
      </c>
      <c r="G436" s="1" t="s">
        <v>5708</v>
      </c>
      <c r="H436" s="1" t="s">
        <v>5709</v>
      </c>
      <c r="J436" s="1" t="s">
        <v>4108</v>
      </c>
      <c r="L436" s="1" t="s">
        <v>4112</v>
      </c>
      <c r="N436" s="1" t="s">
        <v>4113</v>
      </c>
      <c r="P436" s="1" t="s">
        <v>6063</v>
      </c>
      <c r="Q436" s="3">
        <v>0</v>
      </c>
      <c r="S436" s="23" t="s">
        <v>5949</v>
      </c>
      <c r="W436" s="45" t="str">
        <f>HYPERLINK("http://ictvonline.org/taxonomy/p/taxonomy-history?taxnode_id=201850107","ICTVonline=201850107")</f>
        <v>ICTVonline=201850107</v>
      </c>
      <c r="AA436" s="1">
        <v>201850000</v>
      </c>
      <c r="AB436" s="1">
        <v>34</v>
      </c>
    </row>
    <row r="437" spans="1:28" x14ac:dyDescent="0.15">
      <c r="A437" s="1">
        <v>1109</v>
      </c>
      <c r="B437" s="1" t="s">
        <v>7159</v>
      </c>
      <c r="F437" s="1" t="s">
        <v>5617</v>
      </c>
      <c r="G437" s="1" t="s">
        <v>5708</v>
      </c>
      <c r="H437" s="1" t="s">
        <v>5709</v>
      </c>
      <c r="J437" s="1" t="s">
        <v>4108</v>
      </c>
      <c r="L437" s="1" t="s">
        <v>4112</v>
      </c>
      <c r="N437" s="1" t="s">
        <v>4113</v>
      </c>
      <c r="P437" s="1" t="s">
        <v>4168</v>
      </c>
      <c r="Q437" s="3">
        <v>0</v>
      </c>
      <c r="S437" s="23" t="s">
        <v>5949</v>
      </c>
      <c r="T437" s="23" t="s">
        <v>4931</v>
      </c>
      <c r="U437" s="3">
        <v>34</v>
      </c>
      <c r="W437" s="45" t="str">
        <f>HYPERLINK("http://ictvonline.org/taxonomy/p/taxonomy-history?taxnode_id=201850073","ICTVonline=201850073")</f>
        <v>ICTVonline=201850073</v>
      </c>
      <c r="AA437" s="1">
        <v>201850000</v>
      </c>
      <c r="AB437" s="1">
        <v>34</v>
      </c>
    </row>
    <row r="438" spans="1:28" x14ac:dyDescent="0.15">
      <c r="A438" s="1">
        <v>1111</v>
      </c>
      <c r="B438" s="1" t="s">
        <v>7159</v>
      </c>
      <c r="F438" s="1" t="s">
        <v>5617</v>
      </c>
      <c r="G438" s="1" t="s">
        <v>5708</v>
      </c>
      <c r="H438" s="1" t="s">
        <v>5709</v>
      </c>
      <c r="J438" s="1" t="s">
        <v>4108</v>
      </c>
      <c r="L438" s="1" t="s">
        <v>4112</v>
      </c>
      <c r="N438" s="1" t="s">
        <v>4113</v>
      </c>
      <c r="P438" s="1" t="s">
        <v>4085</v>
      </c>
      <c r="Q438" s="3">
        <v>0</v>
      </c>
      <c r="S438" s="23" t="s">
        <v>5949</v>
      </c>
      <c r="T438" s="23" t="s">
        <v>4931</v>
      </c>
      <c r="U438" s="3">
        <v>34</v>
      </c>
      <c r="W438" s="45" t="str">
        <f>HYPERLINK("http://ictvonline.org/taxonomy/p/taxonomy-history?taxnode_id=201850074","ICTVonline=201850074")</f>
        <v>ICTVonline=201850074</v>
      </c>
      <c r="AA438" s="1">
        <v>201850000</v>
      </c>
      <c r="AB438" s="1">
        <v>34</v>
      </c>
    </row>
    <row r="439" spans="1:28" x14ac:dyDescent="0.15">
      <c r="A439" s="1">
        <v>1113</v>
      </c>
      <c r="B439" s="1" t="s">
        <v>7159</v>
      </c>
      <c r="F439" s="1" t="s">
        <v>5617</v>
      </c>
      <c r="G439" s="1" t="s">
        <v>5708</v>
      </c>
      <c r="H439" s="1" t="s">
        <v>5709</v>
      </c>
      <c r="J439" s="1" t="s">
        <v>4108</v>
      </c>
      <c r="L439" s="1" t="s">
        <v>4112</v>
      </c>
      <c r="N439" s="1" t="s">
        <v>4113</v>
      </c>
      <c r="P439" s="1" t="s">
        <v>4169</v>
      </c>
      <c r="Q439" s="3">
        <v>0</v>
      </c>
      <c r="S439" s="23" t="s">
        <v>5949</v>
      </c>
      <c r="T439" s="23" t="s">
        <v>4931</v>
      </c>
      <c r="U439" s="3">
        <v>34</v>
      </c>
      <c r="W439" s="45" t="str">
        <f>HYPERLINK("http://ictvonline.org/taxonomy/p/taxonomy-history?taxnode_id=201850075","ICTVonline=201850075")</f>
        <v>ICTVonline=201850075</v>
      </c>
      <c r="AA439" s="1">
        <v>201850000</v>
      </c>
      <c r="AB439" s="1">
        <v>34</v>
      </c>
    </row>
    <row r="440" spans="1:28" x14ac:dyDescent="0.15">
      <c r="A440" s="1">
        <v>1115</v>
      </c>
      <c r="B440" s="1" t="s">
        <v>7159</v>
      </c>
      <c r="F440" s="1" t="s">
        <v>5617</v>
      </c>
      <c r="G440" s="1" t="s">
        <v>5708</v>
      </c>
      <c r="H440" s="1" t="s">
        <v>5709</v>
      </c>
      <c r="J440" s="1" t="s">
        <v>4108</v>
      </c>
      <c r="L440" s="1" t="s">
        <v>4112</v>
      </c>
      <c r="N440" s="1" t="s">
        <v>4113</v>
      </c>
      <c r="P440" s="1" t="s">
        <v>4170</v>
      </c>
      <c r="Q440" s="3">
        <v>0</v>
      </c>
      <c r="S440" s="23" t="s">
        <v>5949</v>
      </c>
      <c r="T440" s="23" t="s">
        <v>4931</v>
      </c>
      <c r="U440" s="3">
        <v>34</v>
      </c>
      <c r="W440" s="45" t="str">
        <f>HYPERLINK("http://ictvonline.org/taxonomy/p/taxonomy-history?taxnode_id=201850076","ICTVonline=201850076")</f>
        <v>ICTVonline=201850076</v>
      </c>
      <c r="AA440" s="1">
        <v>201850000</v>
      </c>
      <c r="AB440" s="1">
        <v>34</v>
      </c>
    </row>
    <row r="441" spans="1:28" x14ac:dyDescent="0.15">
      <c r="A441" s="1">
        <v>1117</v>
      </c>
      <c r="B441" s="1" t="s">
        <v>7159</v>
      </c>
      <c r="F441" s="1" t="s">
        <v>5617</v>
      </c>
      <c r="G441" s="1" t="s">
        <v>5708</v>
      </c>
      <c r="H441" s="1" t="s">
        <v>5709</v>
      </c>
      <c r="J441" s="1" t="s">
        <v>4108</v>
      </c>
      <c r="L441" s="1" t="s">
        <v>4112</v>
      </c>
      <c r="N441" s="1" t="s">
        <v>4113</v>
      </c>
      <c r="P441" s="1" t="s">
        <v>4171</v>
      </c>
      <c r="Q441" s="3">
        <v>0</v>
      </c>
      <c r="S441" s="23" t="s">
        <v>5949</v>
      </c>
      <c r="T441" s="23" t="s">
        <v>4931</v>
      </c>
      <c r="U441" s="3">
        <v>34</v>
      </c>
      <c r="W441" s="45" t="str">
        <f>HYPERLINK("http://ictvonline.org/taxonomy/p/taxonomy-history?taxnode_id=201850077","ICTVonline=201850077")</f>
        <v>ICTVonline=201850077</v>
      </c>
      <c r="AA441" s="1">
        <v>201850000</v>
      </c>
      <c r="AB441" s="1">
        <v>34</v>
      </c>
    </row>
    <row r="442" spans="1:28" x14ac:dyDescent="0.15">
      <c r="A442" s="1">
        <v>1119</v>
      </c>
      <c r="B442" s="1" t="s">
        <v>7159</v>
      </c>
      <c r="F442" s="1" t="s">
        <v>5617</v>
      </c>
      <c r="G442" s="1" t="s">
        <v>5708</v>
      </c>
      <c r="H442" s="1" t="s">
        <v>5709</v>
      </c>
      <c r="J442" s="1" t="s">
        <v>4108</v>
      </c>
      <c r="L442" s="1" t="s">
        <v>4112</v>
      </c>
      <c r="N442" s="1" t="s">
        <v>4113</v>
      </c>
      <c r="P442" s="1" t="s">
        <v>4086</v>
      </c>
      <c r="Q442" s="3">
        <v>0</v>
      </c>
      <c r="S442" s="23" t="s">
        <v>5949</v>
      </c>
      <c r="T442" s="23" t="s">
        <v>4931</v>
      </c>
      <c r="U442" s="3">
        <v>34</v>
      </c>
      <c r="W442" s="45" t="str">
        <f>HYPERLINK("http://ictvonline.org/taxonomy/p/taxonomy-history?taxnode_id=201850078","ICTVonline=201850078")</f>
        <v>ICTVonline=201850078</v>
      </c>
      <c r="AA442" s="1">
        <v>201850000</v>
      </c>
      <c r="AB442" s="1">
        <v>34</v>
      </c>
    </row>
    <row r="443" spans="1:28" x14ac:dyDescent="0.15">
      <c r="A443" s="1">
        <v>1121</v>
      </c>
      <c r="B443" s="1" t="s">
        <v>7159</v>
      </c>
      <c r="F443" s="1" t="s">
        <v>5617</v>
      </c>
      <c r="G443" s="1" t="s">
        <v>5708</v>
      </c>
      <c r="H443" s="1" t="s">
        <v>5709</v>
      </c>
      <c r="J443" s="1" t="s">
        <v>4108</v>
      </c>
      <c r="L443" s="1" t="s">
        <v>4112</v>
      </c>
      <c r="N443" s="1" t="s">
        <v>4113</v>
      </c>
      <c r="P443" s="1" t="s">
        <v>4087</v>
      </c>
      <c r="Q443" s="3">
        <v>0</v>
      </c>
      <c r="S443" s="23" t="s">
        <v>5949</v>
      </c>
      <c r="T443" s="23" t="s">
        <v>4931</v>
      </c>
      <c r="U443" s="3">
        <v>34</v>
      </c>
      <c r="W443" s="45" t="str">
        <f>HYPERLINK("http://ictvonline.org/taxonomy/p/taxonomy-history?taxnode_id=201850079","ICTVonline=201850079")</f>
        <v>ICTVonline=201850079</v>
      </c>
      <c r="AA443" s="1">
        <v>201850000</v>
      </c>
      <c r="AB443" s="1">
        <v>34</v>
      </c>
    </row>
    <row r="444" spans="1:28" x14ac:dyDescent="0.15">
      <c r="A444" s="1">
        <v>1123</v>
      </c>
      <c r="B444" s="1" t="s">
        <v>7159</v>
      </c>
      <c r="F444" s="1" t="s">
        <v>5617</v>
      </c>
      <c r="G444" s="1" t="s">
        <v>5708</v>
      </c>
      <c r="H444" s="1" t="s">
        <v>5709</v>
      </c>
      <c r="J444" s="1" t="s">
        <v>4108</v>
      </c>
      <c r="L444" s="1" t="s">
        <v>4112</v>
      </c>
      <c r="N444" s="1" t="s">
        <v>4113</v>
      </c>
      <c r="P444" s="1" t="s">
        <v>5000</v>
      </c>
      <c r="Q444" s="3">
        <v>0</v>
      </c>
      <c r="S444" s="23" t="s">
        <v>5949</v>
      </c>
      <c r="T444" s="23" t="s">
        <v>4931</v>
      </c>
      <c r="U444" s="3">
        <v>34</v>
      </c>
      <c r="W444" s="45" t="str">
        <f>HYPERLINK("http://ictvonline.org/taxonomy/p/taxonomy-history?taxnode_id=201850069","ICTVonline=201850069")</f>
        <v>ICTVonline=201850069</v>
      </c>
      <c r="AA444" s="1">
        <v>201850000</v>
      </c>
      <c r="AB444" s="1">
        <v>34</v>
      </c>
    </row>
    <row r="445" spans="1:28" x14ac:dyDescent="0.15">
      <c r="A445" s="1">
        <v>1125</v>
      </c>
      <c r="B445" s="1" t="s">
        <v>7159</v>
      </c>
      <c r="F445" s="1" t="s">
        <v>5617</v>
      </c>
      <c r="G445" s="1" t="s">
        <v>5708</v>
      </c>
      <c r="H445" s="1" t="s">
        <v>5709</v>
      </c>
      <c r="J445" s="1" t="s">
        <v>4108</v>
      </c>
      <c r="L445" s="1" t="s">
        <v>4112</v>
      </c>
      <c r="N445" s="1" t="s">
        <v>4113</v>
      </c>
      <c r="P445" s="1" t="s">
        <v>4088</v>
      </c>
      <c r="Q445" s="3">
        <v>0</v>
      </c>
      <c r="S445" s="23" t="s">
        <v>5949</v>
      </c>
      <c r="T445" s="23" t="s">
        <v>4931</v>
      </c>
      <c r="U445" s="3">
        <v>34</v>
      </c>
      <c r="W445" s="45" t="str">
        <f>HYPERLINK("http://ictvonline.org/taxonomy/p/taxonomy-history?taxnode_id=201850080","ICTVonline=201850080")</f>
        <v>ICTVonline=201850080</v>
      </c>
      <c r="AA445" s="1">
        <v>201850000</v>
      </c>
      <c r="AB445" s="1">
        <v>34</v>
      </c>
    </row>
    <row r="446" spans="1:28" x14ac:dyDescent="0.15">
      <c r="A446" s="1">
        <v>1129</v>
      </c>
      <c r="B446" s="1" t="s">
        <v>7159</v>
      </c>
      <c r="F446" s="1" t="s">
        <v>5617</v>
      </c>
      <c r="G446" s="1" t="s">
        <v>5708</v>
      </c>
      <c r="H446" s="1" t="s">
        <v>5709</v>
      </c>
      <c r="J446" s="1" t="s">
        <v>4108</v>
      </c>
      <c r="L446" s="1" t="s">
        <v>4112</v>
      </c>
      <c r="N446" s="1" t="s">
        <v>5725</v>
      </c>
      <c r="P446" s="1" t="s">
        <v>5726</v>
      </c>
      <c r="Q446" s="3">
        <v>1</v>
      </c>
      <c r="S446" s="23" t="s">
        <v>5949</v>
      </c>
      <c r="T446" s="23" t="s">
        <v>4931</v>
      </c>
      <c r="U446" s="3">
        <v>34</v>
      </c>
      <c r="W446" s="45" t="str">
        <f>HYPERLINK("http://ictvonline.org/taxonomy/p/taxonomy-history?taxnode_id=201856217","ICTVonline=201856217")</f>
        <v>ICTVonline=201856217</v>
      </c>
      <c r="AA446" s="1">
        <v>201850000</v>
      </c>
      <c r="AB446" s="1">
        <v>34</v>
      </c>
    </row>
    <row r="447" spans="1:28" x14ac:dyDescent="0.15">
      <c r="A447" s="1">
        <v>1133</v>
      </c>
      <c r="B447" s="1" t="s">
        <v>7159</v>
      </c>
      <c r="F447" s="1" t="s">
        <v>5617</v>
      </c>
      <c r="G447" s="1" t="s">
        <v>5708</v>
      </c>
      <c r="H447" s="1" t="s">
        <v>5709</v>
      </c>
      <c r="J447" s="1" t="s">
        <v>4108</v>
      </c>
      <c r="L447" s="1" t="s">
        <v>4112</v>
      </c>
      <c r="N447" s="1" t="s">
        <v>5727</v>
      </c>
      <c r="P447" s="1" t="s">
        <v>5728</v>
      </c>
      <c r="Q447" s="3">
        <v>1</v>
      </c>
      <c r="S447" s="23" t="s">
        <v>5949</v>
      </c>
      <c r="T447" s="23" t="s">
        <v>4931</v>
      </c>
      <c r="U447" s="3">
        <v>34</v>
      </c>
      <c r="W447" s="45" t="str">
        <f>HYPERLINK("http://ictvonline.org/taxonomy/p/taxonomy-history?taxnode_id=201856219","ICTVonline=201856219")</f>
        <v>ICTVonline=201856219</v>
      </c>
      <c r="AA447" s="1">
        <v>201850000</v>
      </c>
      <c r="AB447" s="1">
        <v>34</v>
      </c>
    </row>
    <row r="448" spans="1:28" x14ac:dyDescent="0.15">
      <c r="A448" s="1">
        <v>1139</v>
      </c>
      <c r="B448" s="1" t="s">
        <v>7159</v>
      </c>
      <c r="F448" s="1" t="s">
        <v>5617</v>
      </c>
      <c r="G448" s="1" t="s">
        <v>5708</v>
      </c>
      <c r="H448" s="1" t="s">
        <v>5709</v>
      </c>
      <c r="J448" s="1" t="s">
        <v>4108</v>
      </c>
      <c r="L448" s="1" t="s">
        <v>4114</v>
      </c>
      <c r="N448" s="1" t="s">
        <v>4164</v>
      </c>
      <c r="P448" s="1" t="s">
        <v>4165</v>
      </c>
      <c r="Q448" s="3">
        <v>1</v>
      </c>
      <c r="S448" s="23" t="s">
        <v>5949</v>
      </c>
      <c r="T448" s="23" t="s">
        <v>4931</v>
      </c>
      <c r="U448" s="3">
        <v>34</v>
      </c>
      <c r="W448" s="45" t="str">
        <f>HYPERLINK("http://ictvonline.org/taxonomy/p/taxonomy-history?taxnode_id=201850083","ICTVonline=201850083")</f>
        <v>ICTVonline=201850083</v>
      </c>
      <c r="AA448" s="1">
        <v>201850000</v>
      </c>
      <c r="AB448" s="1">
        <v>34</v>
      </c>
    </row>
    <row r="449" spans="1:28" x14ac:dyDescent="0.15">
      <c r="A449" s="1">
        <v>1141</v>
      </c>
      <c r="B449" s="1" t="s">
        <v>7159</v>
      </c>
      <c r="F449" s="1" t="s">
        <v>5617</v>
      </c>
      <c r="G449" s="1" t="s">
        <v>5708</v>
      </c>
      <c r="H449" s="1" t="s">
        <v>5709</v>
      </c>
      <c r="J449" s="1" t="s">
        <v>4108</v>
      </c>
      <c r="L449" s="1" t="s">
        <v>4114</v>
      </c>
      <c r="N449" s="1" t="s">
        <v>4164</v>
      </c>
      <c r="P449" s="1" t="s">
        <v>4166</v>
      </c>
      <c r="Q449" s="3">
        <v>0</v>
      </c>
      <c r="S449" s="23" t="s">
        <v>5949</v>
      </c>
      <c r="T449" s="23" t="s">
        <v>4931</v>
      </c>
      <c r="U449" s="3">
        <v>34</v>
      </c>
      <c r="W449" s="45" t="str">
        <f>HYPERLINK("http://ictvonline.org/taxonomy/p/taxonomy-history?taxnode_id=201850084","ICTVonline=201850084")</f>
        <v>ICTVonline=201850084</v>
      </c>
      <c r="AA449" s="1">
        <v>201850000</v>
      </c>
      <c r="AB449" s="1">
        <v>34</v>
      </c>
    </row>
    <row r="450" spans="1:28" x14ac:dyDescent="0.15">
      <c r="A450" s="1">
        <v>1143</v>
      </c>
      <c r="B450" s="1" t="s">
        <v>7159</v>
      </c>
      <c r="F450" s="1" t="s">
        <v>5617</v>
      </c>
      <c r="G450" s="1" t="s">
        <v>5708</v>
      </c>
      <c r="H450" s="1" t="s">
        <v>5709</v>
      </c>
      <c r="J450" s="1" t="s">
        <v>4108</v>
      </c>
      <c r="L450" s="1" t="s">
        <v>4114</v>
      </c>
      <c r="N450" s="1" t="s">
        <v>4164</v>
      </c>
      <c r="P450" s="1" t="s">
        <v>4167</v>
      </c>
      <c r="Q450" s="3">
        <v>0</v>
      </c>
      <c r="S450" s="23" t="s">
        <v>5949</v>
      </c>
      <c r="T450" s="23" t="s">
        <v>4931</v>
      </c>
      <c r="U450" s="3">
        <v>34</v>
      </c>
      <c r="W450" s="45" t="str">
        <f>HYPERLINK("http://ictvonline.org/taxonomy/p/taxonomy-history?taxnode_id=201850086","ICTVonline=201850086")</f>
        <v>ICTVonline=201850086</v>
      </c>
      <c r="AA450" s="1">
        <v>201850000</v>
      </c>
      <c r="AB450" s="1">
        <v>34</v>
      </c>
    </row>
    <row r="451" spans="1:28" x14ac:dyDescent="0.15">
      <c r="A451" s="1">
        <v>1147</v>
      </c>
      <c r="B451" s="1" t="s">
        <v>7159</v>
      </c>
      <c r="F451" s="1" t="s">
        <v>5617</v>
      </c>
      <c r="G451" s="1" t="s">
        <v>5708</v>
      </c>
      <c r="H451" s="1" t="s">
        <v>5709</v>
      </c>
      <c r="J451" s="1" t="s">
        <v>4108</v>
      </c>
      <c r="L451" s="1" t="s">
        <v>4114</v>
      </c>
      <c r="N451" s="1" t="s">
        <v>1975</v>
      </c>
      <c r="P451" s="1" t="s">
        <v>3694</v>
      </c>
      <c r="Q451" s="3">
        <v>0</v>
      </c>
      <c r="S451" s="23" t="s">
        <v>5949</v>
      </c>
      <c r="T451" s="23" t="s">
        <v>4931</v>
      </c>
      <c r="U451" s="3">
        <v>34</v>
      </c>
      <c r="W451" s="45" t="str">
        <f>HYPERLINK("http://ictvonline.org/taxonomy/p/taxonomy-history?taxnode_id=201850089","ICTVonline=201850089")</f>
        <v>ICTVonline=201850089</v>
      </c>
      <c r="AA451" s="1">
        <v>201850000</v>
      </c>
      <c r="AB451" s="1">
        <v>34</v>
      </c>
    </row>
    <row r="452" spans="1:28" x14ac:dyDescent="0.15">
      <c r="A452" s="1">
        <v>1149</v>
      </c>
      <c r="B452" s="1" t="s">
        <v>7159</v>
      </c>
      <c r="F452" s="1" t="s">
        <v>5617</v>
      </c>
      <c r="G452" s="1" t="s">
        <v>5708</v>
      </c>
      <c r="H452" s="1" t="s">
        <v>5709</v>
      </c>
      <c r="J452" s="1" t="s">
        <v>4108</v>
      </c>
      <c r="L452" s="1" t="s">
        <v>4114</v>
      </c>
      <c r="N452" s="1" t="s">
        <v>1975</v>
      </c>
      <c r="P452" s="1" t="s">
        <v>6064</v>
      </c>
      <c r="Q452" s="3">
        <v>0</v>
      </c>
      <c r="S452" s="23" t="s">
        <v>5949</v>
      </c>
      <c r="T452" s="23" t="s">
        <v>4929</v>
      </c>
      <c r="U452" s="3">
        <v>34</v>
      </c>
      <c r="V452" s="3" t="s">
        <v>6065</v>
      </c>
      <c r="W452" s="45" t="str">
        <f>HYPERLINK("http://ictvonline.org/taxonomy/p/taxonomy-history?taxnode_id=201856382","ICTVonline=201856382")</f>
        <v>ICTVonline=201856382</v>
      </c>
      <c r="AA452" s="1">
        <v>201850000</v>
      </c>
      <c r="AB452" s="1">
        <v>34</v>
      </c>
    </row>
    <row r="453" spans="1:28" x14ac:dyDescent="0.15">
      <c r="A453" s="1">
        <v>1151</v>
      </c>
      <c r="B453" s="1" t="s">
        <v>7159</v>
      </c>
      <c r="F453" s="1" t="s">
        <v>5617</v>
      </c>
      <c r="G453" s="1" t="s">
        <v>5708</v>
      </c>
      <c r="H453" s="1" t="s">
        <v>5709</v>
      </c>
      <c r="J453" s="1" t="s">
        <v>4108</v>
      </c>
      <c r="L453" s="1" t="s">
        <v>4114</v>
      </c>
      <c r="N453" s="1" t="s">
        <v>1975</v>
      </c>
      <c r="P453" s="1" t="s">
        <v>3695</v>
      </c>
      <c r="Q453" s="3">
        <v>0</v>
      </c>
      <c r="S453" s="23" t="s">
        <v>5949</v>
      </c>
      <c r="T453" s="23" t="s">
        <v>4931</v>
      </c>
      <c r="U453" s="3">
        <v>34</v>
      </c>
      <c r="W453" s="45" t="str">
        <f>HYPERLINK("http://ictvonline.org/taxonomy/p/taxonomy-history?taxnode_id=201850090","ICTVonline=201850090")</f>
        <v>ICTVonline=201850090</v>
      </c>
      <c r="AA453" s="1">
        <v>201850000</v>
      </c>
      <c r="AB453" s="1">
        <v>34</v>
      </c>
    </row>
    <row r="454" spans="1:28" x14ac:dyDescent="0.15">
      <c r="A454" s="1">
        <v>1153</v>
      </c>
      <c r="B454" s="1" t="s">
        <v>7159</v>
      </c>
      <c r="F454" s="1" t="s">
        <v>5617</v>
      </c>
      <c r="G454" s="1" t="s">
        <v>5708</v>
      </c>
      <c r="H454" s="1" t="s">
        <v>5709</v>
      </c>
      <c r="J454" s="1" t="s">
        <v>4108</v>
      </c>
      <c r="L454" s="1" t="s">
        <v>4114</v>
      </c>
      <c r="N454" s="1" t="s">
        <v>1975</v>
      </c>
      <c r="P454" s="1" t="s">
        <v>3696</v>
      </c>
      <c r="Q454" s="3">
        <v>0</v>
      </c>
      <c r="S454" s="23" t="s">
        <v>5949</v>
      </c>
      <c r="T454" s="23" t="s">
        <v>4931</v>
      </c>
      <c r="U454" s="3">
        <v>34</v>
      </c>
      <c r="W454" s="45" t="str">
        <f>HYPERLINK("http://ictvonline.org/taxonomy/p/taxonomy-history?taxnode_id=201850091","ICTVonline=201850091")</f>
        <v>ICTVonline=201850091</v>
      </c>
      <c r="AA454" s="1">
        <v>201850000</v>
      </c>
      <c r="AB454" s="1">
        <v>34</v>
      </c>
    </row>
    <row r="455" spans="1:28" x14ac:dyDescent="0.15">
      <c r="A455" s="1">
        <v>1155</v>
      </c>
      <c r="B455" s="1" t="s">
        <v>7159</v>
      </c>
      <c r="F455" s="1" t="s">
        <v>5617</v>
      </c>
      <c r="G455" s="1" t="s">
        <v>5708</v>
      </c>
      <c r="H455" s="1" t="s">
        <v>5709</v>
      </c>
      <c r="J455" s="1" t="s">
        <v>4108</v>
      </c>
      <c r="L455" s="1" t="s">
        <v>4114</v>
      </c>
      <c r="N455" s="1" t="s">
        <v>1975</v>
      </c>
      <c r="P455" s="1" t="s">
        <v>6066</v>
      </c>
      <c r="Q455" s="3">
        <v>0</v>
      </c>
      <c r="S455" s="23" t="s">
        <v>5949</v>
      </c>
      <c r="T455" s="23" t="s">
        <v>4929</v>
      </c>
      <c r="U455" s="3">
        <v>34</v>
      </c>
      <c r="V455" s="3" t="s">
        <v>6065</v>
      </c>
      <c r="W455" s="45" t="str">
        <f>HYPERLINK("http://ictvonline.org/taxonomy/p/taxonomy-history?taxnode_id=201856354","ICTVonline=201856354")</f>
        <v>ICTVonline=201856354</v>
      </c>
      <c r="AA455" s="1">
        <v>201850000</v>
      </c>
      <c r="AB455" s="1">
        <v>34</v>
      </c>
    </row>
    <row r="456" spans="1:28" x14ac:dyDescent="0.15">
      <c r="A456" s="1">
        <v>1157</v>
      </c>
      <c r="B456" s="1" t="s">
        <v>7159</v>
      </c>
      <c r="F456" s="1" t="s">
        <v>5617</v>
      </c>
      <c r="G456" s="1" t="s">
        <v>5708</v>
      </c>
      <c r="H456" s="1" t="s">
        <v>5709</v>
      </c>
      <c r="J456" s="1" t="s">
        <v>4108</v>
      </c>
      <c r="L456" s="1" t="s">
        <v>4114</v>
      </c>
      <c r="N456" s="1" t="s">
        <v>1975</v>
      </c>
      <c r="P456" s="1" t="s">
        <v>6067</v>
      </c>
      <c r="Q456" s="3">
        <v>0</v>
      </c>
      <c r="S456" s="23" t="s">
        <v>5949</v>
      </c>
      <c r="T456" s="23" t="s">
        <v>4929</v>
      </c>
      <c r="U456" s="3">
        <v>34</v>
      </c>
      <c r="V456" s="3" t="s">
        <v>6065</v>
      </c>
      <c r="W456" s="45" t="str">
        <f>HYPERLINK("http://ictvonline.org/taxonomy/p/taxonomy-history?taxnode_id=201856383","ICTVonline=201856383")</f>
        <v>ICTVonline=201856383</v>
      </c>
      <c r="AA456" s="1">
        <v>201850000</v>
      </c>
      <c r="AB456" s="1">
        <v>34</v>
      </c>
    </row>
    <row r="457" spans="1:28" x14ac:dyDescent="0.15">
      <c r="A457" s="1">
        <v>1159</v>
      </c>
      <c r="B457" s="1" t="s">
        <v>7159</v>
      </c>
      <c r="F457" s="1" t="s">
        <v>5617</v>
      </c>
      <c r="G457" s="1" t="s">
        <v>5708</v>
      </c>
      <c r="H457" s="1" t="s">
        <v>5709</v>
      </c>
      <c r="J457" s="1" t="s">
        <v>4108</v>
      </c>
      <c r="L457" s="1" t="s">
        <v>4114</v>
      </c>
      <c r="N457" s="1" t="s">
        <v>1975</v>
      </c>
      <c r="P457" s="1" t="s">
        <v>3697</v>
      </c>
      <c r="Q457" s="3">
        <v>0</v>
      </c>
      <c r="S457" s="23" t="s">
        <v>5949</v>
      </c>
      <c r="T457" s="23" t="s">
        <v>4931</v>
      </c>
      <c r="U457" s="3">
        <v>34</v>
      </c>
      <c r="W457" s="45" t="str">
        <f>HYPERLINK("http://ictvonline.org/taxonomy/p/taxonomy-history?taxnode_id=201850092","ICTVonline=201850092")</f>
        <v>ICTVonline=201850092</v>
      </c>
      <c r="AA457" s="1">
        <v>201850000</v>
      </c>
      <c r="AB457" s="1">
        <v>34</v>
      </c>
    </row>
    <row r="458" spans="1:28" x14ac:dyDescent="0.15">
      <c r="A458" s="1">
        <v>1161</v>
      </c>
      <c r="B458" s="1" t="s">
        <v>7159</v>
      </c>
      <c r="F458" s="1" t="s">
        <v>5617</v>
      </c>
      <c r="G458" s="1" t="s">
        <v>5708</v>
      </c>
      <c r="H458" s="1" t="s">
        <v>5709</v>
      </c>
      <c r="J458" s="1" t="s">
        <v>4108</v>
      </c>
      <c r="L458" s="1" t="s">
        <v>4114</v>
      </c>
      <c r="N458" s="1" t="s">
        <v>1975</v>
      </c>
      <c r="P458" s="1" t="s">
        <v>3698</v>
      </c>
      <c r="Q458" s="3">
        <v>0</v>
      </c>
      <c r="S458" s="23" t="s">
        <v>5949</v>
      </c>
      <c r="T458" s="23" t="s">
        <v>4931</v>
      </c>
      <c r="U458" s="3">
        <v>34</v>
      </c>
      <c r="W458" s="45" t="str">
        <f>HYPERLINK("http://ictvonline.org/taxonomy/p/taxonomy-history?taxnode_id=201850093","ICTVonline=201850093")</f>
        <v>ICTVonline=201850093</v>
      </c>
      <c r="AA458" s="1">
        <v>201850000</v>
      </c>
      <c r="AB458" s="1">
        <v>34</v>
      </c>
    </row>
    <row r="459" spans="1:28" x14ac:dyDescent="0.15">
      <c r="A459" s="1">
        <v>1163</v>
      </c>
      <c r="B459" s="1" t="s">
        <v>7159</v>
      </c>
      <c r="F459" s="1" t="s">
        <v>5617</v>
      </c>
      <c r="G459" s="1" t="s">
        <v>5708</v>
      </c>
      <c r="H459" s="1" t="s">
        <v>5709</v>
      </c>
      <c r="J459" s="1" t="s">
        <v>4108</v>
      </c>
      <c r="L459" s="1" t="s">
        <v>4114</v>
      </c>
      <c r="N459" s="1" t="s">
        <v>1975</v>
      </c>
      <c r="P459" s="1" t="s">
        <v>3699</v>
      </c>
      <c r="Q459" s="3">
        <v>0</v>
      </c>
      <c r="S459" s="23" t="s">
        <v>5949</v>
      </c>
      <c r="T459" s="23" t="s">
        <v>4931</v>
      </c>
      <c r="U459" s="3">
        <v>34</v>
      </c>
      <c r="W459" s="45" t="str">
        <f>HYPERLINK("http://ictvonline.org/taxonomy/p/taxonomy-history?taxnode_id=201850094","ICTVonline=201850094")</f>
        <v>ICTVonline=201850094</v>
      </c>
      <c r="AA459" s="1">
        <v>201850000</v>
      </c>
      <c r="AB459" s="1">
        <v>34</v>
      </c>
    </row>
    <row r="460" spans="1:28" x14ac:dyDescent="0.15">
      <c r="A460" s="1">
        <v>1165</v>
      </c>
      <c r="B460" s="1" t="s">
        <v>7159</v>
      </c>
      <c r="F460" s="1" t="s">
        <v>5617</v>
      </c>
      <c r="G460" s="1" t="s">
        <v>5708</v>
      </c>
      <c r="H460" s="1" t="s">
        <v>5709</v>
      </c>
      <c r="J460" s="1" t="s">
        <v>4108</v>
      </c>
      <c r="L460" s="1" t="s">
        <v>4114</v>
      </c>
      <c r="N460" s="1" t="s">
        <v>1975</v>
      </c>
      <c r="P460" s="1" t="s">
        <v>6068</v>
      </c>
      <c r="Q460" s="3">
        <v>0</v>
      </c>
      <c r="S460" s="23" t="s">
        <v>5949</v>
      </c>
      <c r="T460" s="23" t="s">
        <v>4929</v>
      </c>
      <c r="U460" s="3">
        <v>34</v>
      </c>
      <c r="V460" s="3" t="s">
        <v>6065</v>
      </c>
      <c r="W460" s="45" t="str">
        <f>HYPERLINK("http://ictvonline.org/taxonomy/p/taxonomy-history?taxnode_id=201856355","ICTVonline=201856355")</f>
        <v>ICTVonline=201856355</v>
      </c>
      <c r="AA460" s="1">
        <v>201850000</v>
      </c>
      <c r="AB460" s="1">
        <v>34</v>
      </c>
    </row>
    <row r="461" spans="1:28" x14ac:dyDescent="0.15">
      <c r="A461" s="1">
        <v>1167</v>
      </c>
      <c r="B461" s="1" t="s">
        <v>7159</v>
      </c>
      <c r="F461" s="1" t="s">
        <v>5617</v>
      </c>
      <c r="G461" s="1" t="s">
        <v>5708</v>
      </c>
      <c r="H461" s="1" t="s">
        <v>5709</v>
      </c>
      <c r="J461" s="1" t="s">
        <v>4108</v>
      </c>
      <c r="L461" s="1" t="s">
        <v>4114</v>
      </c>
      <c r="N461" s="1" t="s">
        <v>1975</v>
      </c>
      <c r="P461" s="1" t="s">
        <v>3700</v>
      </c>
      <c r="Q461" s="3">
        <v>0</v>
      </c>
      <c r="S461" s="23" t="s">
        <v>5949</v>
      </c>
      <c r="T461" s="23" t="s">
        <v>4931</v>
      </c>
      <c r="U461" s="3">
        <v>34</v>
      </c>
      <c r="W461" s="45" t="str">
        <f>HYPERLINK("http://ictvonline.org/taxonomy/p/taxonomy-history?taxnode_id=201850095","ICTVonline=201850095")</f>
        <v>ICTVonline=201850095</v>
      </c>
      <c r="AA461" s="1">
        <v>201850000</v>
      </c>
      <c r="AB461" s="1">
        <v>34</v>
      </c>
    </row>
    <row r="462" spans="1:28" x14ac:dyDescent="0.15">
      <c r="A462" s="1">
        <v>1169</v>
      </c>
      <c r="B462" s="1" t="s">
        <v>7159</v>
      </c>
      <c r="F462" s="1" t="s">
        <v>5617</v>
      </c>
      <c r="G462" s="1" t="s">
        <v>5708</v>
      </c>
      <c r="H462" s="1" t="s">
        <v>5709</v>
      </c>
      <c r="J462" s="1" t="s">
        <v>4108</v>
      </c>
      <c r="L462" s="1" t="s">
        <v>4114</v>
      </c>
      <c r="N462" s="1" t="s">
        <v>1975</v>
      </c>
      <c r="P462" s="1" t="s">
        <v>6069</v>
      </c>
      <c r="Q462" s="3">
        <v>0</v>
      </c>
      <c r="S462" s="23" t="s">
        <v>5949</v>
      </c>
      <c r="T462" s="23" t="s">
        <v>4929</v>
      </c>
      <c r="U462" s="3">
        <v>34</v>
      </c>
      <c r="V462" s="3" t="s">
        <v>6062</v>
      </c>
      <c r="W462" s="45" t="str">
        <f>HYPERLINK("http://ictvonline.org/taxonomy/p/taxonomy-history?taxnode_id=201856596","ICTVonline=201856596")</f>
        <v>ICTVonline=201856596</v>
      </c>
      <c r="AA462" s="1">
        <v>201850000</v>
      </c>
      <c r="AB462" s="1">
        <v>34</v>
      </c>
    </row>
    <row r="463" spans="1:28" x14ac:dyDescent="0.15">
      <c r="A463" s="1">
        <v>1171</v>
      </c>
      <c r="B463" s="1" t="s">
        <v>7159</v>
      </c>
      <c r="F463" s="1" t="s">
        <v>5617</v>
      </c>
      <c r="G463" s="1" t="s">
        <v>5708</v>
      </c>
      <c r="H463" s="1" t="s">
        <v>5709</v>
      </c>
      <c r="J463" s="1" t="s">
        <v>4108</v>
      </c>
      <c r="L463" s="1" t="s">
        <v>4114</v>
      </c>
      <c r="N463" s="1" t="s">
        <v>1975</v>
      </c>
      <c r="P463" s="1" t="s">
        <v>3701</v>
      </c>
      <c r="Q463" s="3">
        <v>0</v>
      </c>
      <c r="S463" s="23" t="s">
        <v>5949</v>
      </c>
      <c r="T463" s="23" t="s">
        <v>4931</v>
      </c>
      <c r="U463" s="3">
        <v>34</v>
      </c>
      <c r="W463" s="45" t="str">
        <f>HYPERLINK("http://ictvonline.org/taxonomy/p/taxonomy-history?taxnode_id=201850096","ICTVonline=201850096")</f>
        <v>ICTVonline=201850096</v>
      </c>
      <c r="AA463" s="1">
        <v>201850000</v>
      </c>
      <c r="AB463" s="1">
        <v>34</v>
      </c>
    </row>
    <row r="464" spans="1:28" x14ac:dyDescent="0.15">
      <c r="A464" s="1">
        <v>1173</v>
      </c>
      <c r="B464" s="1" t="s">
        <v>7159</v>
      </c>
      <c r="F464" s="1" t="s">
        <v>5617</v>
      </c>
      <c r="G464" s="1" t="s">
        <v>5708</v>
      </c>
      <c r="H464" s="1" t="s">
        <v>5709</v>
      </c>
      <c r="J464" s="1" t="s">
        <v>4108</v>
      </c>
      <c r="L464" s="1" t="s">
        <v>4114</v>
      </c>
      <c r="N464" s="1" t="s">
        <v>1975</v>
      </c>
      <c r="P464" s="1" t="s">
        <v>3702</v>
      </c>
      <c r="Q464" s="3">
        <v>0</v>
      </c>
      <c r="S464" s="23" t="s">
        <v>5949</v>
      </c>
      <c r="T464" s="23" t="s">
        <v>4931</v>
      </c>
      <c r="U464" s="3">
        <v>34</v>
      </c>
      <c r="W464" s="45" t="str">
        <f>HYPERLINK("http://ictvonline.org/taxonomy/p/taxonomy-history?taxnode_id=201850097","ICTVonline=201850097")</f>
        <v>ICTVonline=201850097</v>
      </c>
      <c r="AA464" s="1">
        <v>201850000</v>
      </c>
      <c r="AB464" s="1">
        <v>34</v>
      </c>
    </row>
    <row r="465" spans="1:28" x14ac:dyDescent="0.15">
      <c r="A465" s="1">
        <v>1175</v>
      </c>
      <c r="B465" s="1" t="s">
        <v>7159</v>
      </c>
      <c r="F465" s="1" t="s">
        <v>5617</v>
      </c>
      <c r="G465" s="1" t="s">
        <v>5708</v>
      </c>
      <c r="H465" s="1" t="s">
        <v>5709</v>
      </c>
      <c r="J465" s="1" t="s">
        <v>4108</v>
      </c>
      <c r="L465" s="1" t="s">
        <v>4114</v>
      </c>
      <c r="N465" s="1" t="s">
        <v>1975</v>
      </c>
      <c r="P465" s="1" t="s">
        <v>3703</v>
      </c>
      <c r="Q465" s="3">
        <v>0</v>
      </c>
      <c r="S465" s="23" t="s">
        <v>5949</v>
      </c>
      <c r="T465" s="23" t="s">
        <v>4931</v>
      </c>
      <c r="U465" s="3">
        <v>34</v>
      </c>
      <c r="W465" s="45" t="str">
        <f>HYPERLINK("http://ictvonline.org/taxonomy/p/taxonomy-history?taxnode_id=201850098","ICTVonline=201850098")</f>
        <v>ICTVonline=201850098</v>
      </c>
      <c r="AA465" s="1">
        <v>201850000</v>
      </c>
      <c r="AB465" s="1">
        <v>34</v>
      </c>
    </row>
    <row r="466" spans="1:28" x14ac:dyDescent="0.15">
      <c r="A466" s="1">
        <v>1177</v>
      </c>
      <c r="B466" s="1" t="s">
        <v>7159</v>
      </c>
      <c r="F466" s="1" t="s">
        <v>5617</v>
      </c>
      <c r="G466" s="1" t="s">
        <v>5708</v>
      </c>
      <c r="H466" s="1" t="s">
        <v>5709</v>
      </c>
      <c r="J466" s="1" t="s">
        <v>4108</v>
      </c>
      <c r="L466" s="1" t="s">
        <v>4114</v>
      </c>
      <c r="N466" s="1" t="s">
        <v>1975</v>
      </c>
      <c r="P466" s="1" t="s">
        <v>6070</v>
      </c>
      <c r="Q466" s="3">
        <v>0</v>
      </c>
      <c r="S466" s="23" t="s">
        <v>5949</v>
      </c>
      <c r="T466" s="23" t="s">
        <v>4929</v>
      </c>
      <c r="U466" s="3">
        <v>34</v>
      </c>
      <c r="V466" s="3" t="s">
        <v>6065</v>
      </c>
      <c r="W466" s="45" t="str">
        <f>HYPERLINK("http://ictvonline.org/taxonomy/p/taxonomy-history?taxnode_id=201856356","ICTVonline=201856356")</f>
        <v>ICTVonline=201856356</v>
      </c>
      <c r="AA466" s="1">
        <v>201850000</v>
      </c>
      <c r="AB466" s="1">
        <v>34</v>
      </c>
    </row>
    <row r="467" spans="1:28" x14ac:dyDescent="0.15">
      <c r="A467" s="1">
        <v>1179</v>
      </c>
      <c r="B467" s="1" t="s">
        <v>7159</v>
      </c>
      <c r="F467" s="1" t="s">
        <v>5617</v>
      </c>
      <c r="G467" s="1" t="s">
        <v>5708</v>
      </c>
      <c r="H467" s="1" t="s">
        <v>5709</v>
      </c>
      <c r="J467" s="1" t="s">
        <v>4108</v>
      </c>
      <c r="L467" s="1" t="s">
        <v>4114</v>
      </c>
      <c r="N467" s="1" t="s">
        <v>1975</v>
      </c>
      <c r="P467" s="1" t="s">
        <v>3704</v>
      </c>
      <c r="Q467" s="3">
        <v>0</v>
      </c>
      <c r="S467" s="23" t="s">
        <v>5949</v>
      </c>
      <c r="T467" s="23" t="s">
        <v>4931</v>
      </c>
      <c r="U467" s="3">
        <v>34</v>
      </c>
      <c r="W467" s="45" t="str">
        <f>HYPERLINK("http://ictvonline.org/taxonomy/p/taxonomy-history?taxnode_id=201850099","ICTVonline=201850099")</f>
        <v>ICTVonline=201850099</v>
      </c>
      <c r="AA467" s="1">
        <v>201850000</v>
      </c>
      <c r="AB467" s="1">
        <v>34</v>
      </c>
    </row>
    <row r="468" spans="1:28" x14ac:dyDescent="0.15">
      <c r="A468" s="1">
        <v>1181</v>
      </c>
      <c r="B468" s="1" t="s">
        <v>7159</v>
      </c>
      <c r="F468" s="1" t="s">
        <v>5617</v>
      </c>
      <c r="G468" s="1" t="s">
        <v>5708</v>
      </c>
      <c r="H468" s="1" t="s">
        <v>5709</v>
      </c>
      <c r="J468" s="1" t="s">
        <v>4108</v>
      </c>
      <c r="L468" s="1" t="s">
        <v>4114</v>
      </c>
      <c r="N468" s="1" t="s">
        <v>1975</v>
      </c>
      <c r="P468" s="1" t="s">
        <v>6071</v>
      </c>
      <c r="Q468" s="3">
        <v>0</v>
      </c>
      <c r="S468" s="23" t="s">
        <v>5949</v>
      </c>
      <c r="T468" s="23" t="s">
        <v>4929</v>
      </c>
      <c r="U468" s="3">
        <v>34</v>
      </c>
      <c r="V468" s="3" t="s">
        <v>6065</v>
      </c>
      <c r="W468" s="45" t="str">
        <f>HYPERLINK("http://ictvonline.org/taxonomy/p/taxonomy-history?taxnode_id=201856357","ICTVonline=201856357")</f>
        <v>ICTVonline=201856357</v>
      </c>
      <c r="AA468" s="1">
        <v>201850000</v>
      </c>
      <c r="AB468" s="1">
        <v>34</v>
      </c>
    </row>
    <row r="469" spans="1:28" x14ac:dyDescent="0.15">
      <c r="A469" s="1">
        <v>1183</v>
      </c>
      <c r="B469" s="1" t="s">
        <v>7159</v>
      </c>
      <c r="F469" s="1" t="s">
        <v>5617</v>
      </c>
      <c r="G469" s="1" t="s">
        <v>5708</v>
      </c>
      <c r="H469" s="1" t="s">
        <v>5709</v>
      </c>
      <c r="J469" s="1" t="s">
        <v>4108</v>
      </c>
      <c r="L469" s="1" t="s">
        <v>4114</v>
      </c>
      <c r="N469" s="1" t="s">
        <v>1975</v>
      </c>
      <c r="P469" s="1" t="s">
        <v>3705</v>
      </c>
      <c r="Q469" s="3">
        <v>1</v>
      </c>
      <c r="S469" s="23" t="s">
        <v>5949</v>
      </c>
      <c r="T469" s="23" t="s">
        <v>4931</v>
      </c>
      <c r="U469" s="3">
        <v>34</v>
      </c>
      <c r="W469" s="45" t="str">
        <f>HYPERLINK("http://ictvonline.org/taxonomy/p/taxonomy-history?taxnode_id=201850100","ICTVonline=201850100")</f>
        <v>ICTVonline=201850100</v>
      </c>
      <c r="AA469" s="1">
        <v>201850000</v>
      </c>
      <c r="AB469" s="1">
        <v>34</v>
      </c>
    </row>
    <row r="470" spans="1:28" x14ac:dyDescent="0.15">
      <c r="A470" s="1">
        <v>1185</v>
      </c>
      <c r="B470" s="1" t="s">
        <v>7159</v>
      </c>
      <c r="F470" s="1" t="s">
        <v>5617</v>
      </c>
      <c r="G470" s="1" t="s">
        <v>5708</v>
      </c>
      <c r="H470" s="1" t="s">
        <v>5709</v>
      </c>
      <c r="J470" s="1" t="s">
        <v>4108</v>
      </c>
      <c r="L470" s="1" t="s">
        <v>4114</v>
      </c>
      <c r="N470" s="1" t="s">
        <v>1975</v>
      </c>
      <c r="P470" s="1" t="s">
        <v>3706</v>
      </c>
      <c r="Q470" s="3">
        <v>0</v>
      </c>
      <c r="S470" s="23" t="s">
        <v>5949</v>
      </c>
      <c r="T470" s="23" t="s">
        <v>4931</v>
      </c>
      <c r="U470" s="3">
        <v>34</v>
      </c>
      <c r="W470" s="45" t="str">
        <f>HYPERLINK("http://ictvonline.org/taxonomy/p/taxonomy-history?taxnode_id=201850101","ICTVonline=201850101")</f>
        <v>ICTVonline=201850101</v>
      </c>
      <c r="AA470" s="1">
        <v>201850000</v>
      </c>
      <c r="AB470" s="1">
        <v>34</v>
      </c>
    </row>
    <row r="471" spans="1:28" x14ac:dyDescent="0.15">
      <c r="A471" s="1">
        <v>1187</v>
      </c>
      <c r="B471" s="1" t="s">
        <v>7159</v>
      </c>
      <c r="F471" s="1" t="s">
        <v>5617</v>
      </c>
      <c r="G471" s="1" t="s">
        <v>5708</v>
      </c>
      <c r="H471" s="1" t="s">
        <v>5709</v>
      </c>
      <c r="J471" s="1" t="s">
        <v>4108</v>
      </c>
      <c r="L471" s="1" t="s">
        <v>4114</v>
      </c>
      <c r="N471" s="1" t="s">
        <v>1975</v>
      </c>
      <c r="P471" s="1" t="s">
        <v>6072</v>
      </c>
      <c r="Q471" s="3">
        <v>0</v>
      </c>
      <c r="S471" s="23" t="s">
        <v>5949</v>
      </c>
      <c r="T471" s="23" t="s">
        <v>4929</v>
      </c>
      <c r="U471" s="3">
        <v>34</v>
      </c>
      <c r="V471" s="3" t="s">
        <v>6065</v>
      </c>
      <c r="W471" s="45" t="str">
        <f>HYPERLINK("http://ictvonline.org/taxonomy/p/taxonomy-history?taxnode_id=201856374","ICTVonline=201856374")</f>
        <v>ICTVonline=201856374</v>
      </c>
      <c r="AA471" s="1">
        <v>201850000</v>
      </c>
      <c r="AB471" s="1">
        <v>34</v>
      </c>
    </row>
    <row r="472" spans="1:28" x14ac:dyDescent="0.15">
      <c r="A472" s="1">
        <v>1189</v>
      </c>
      <c r="B472" s="1" t="s">
        <v>7159</v>
      </c>
      <c r="F472" s="1" t="s">
        <v>5617</v>
      </c>
      <c r="G472" s="1" t="s">
        <v>5708</v>
      </c>
      <c r="H472" s="1" t="s">
        <v>5709</v>
      </c>
      <c r="J472" s="1" t="s">
        <v>4108</v>
      </c>
      <c r="L472" s="1" t="s">
        <v>4114</v>
      </c>
      <c r="N472" s="1" t="s">
        <v>1975</v>
      </c>
      <c r="P472" s="1" t="s">
        <v>3707</v>
      </c>
      <c r="Q472" s="3">
        <v>0</v>
      </c>
      <c r="S472" s="23" t="s">
        <v>5949</v>
      </c>
      <c r="T472" s="23" t="s">
        <v>4931</v>
      </c>
      <c r="U472" s="3">
        <v>34</v>
      </c>
      <c r="W472" s="45" t="str">
        <f>HYPERLINK("http://ictvonline.org/taxonomy/p/taxonomy-history?taxnode_id=201850102","ICTVonline=201850102")</f>
        <v>ICTVonline=201850102</v>
      </c>
      <c r="AA472" s="1">
        <v>201850000</v>
      </c>
      <c r="AB472" s="1">
        <v>34</v>
      </c>
    </row>
    <row r="473" spans="1:28" x14ac:dyDescent="0.15">
      <c r="A473" s="1">
        <v>1191</v>
      </c>
      <c r="B473" s="1" t="s">
        <v>7159</v>
      </c>
      <c r="F473" s="1" t="s">
        <v>5617</v>
      </c>
      <c r="G473" s="1" t="s">
        <v>5708</v>
      </c>
      <c r="H473" s="1" t="s">
        <v>5709</v>
      </c>
      <c r="J473" s="1" t="s">
        <v>4108</v>
      </c>
      <c r="L473" s="1" t="s">
        <v>4114</v>
      </c>
      <c r="N473" s="1" t="s">
        <v>1975</v>
      </c>
      <c r="P473" s="1" t="s">
        <v>6073</v>
      </c>
      <c r="Q473" s="3">
        <v>0</v>
      </c>
      <c r="S473" s="23" t="s">
        <v>5949</v>
      </c>
      <c r="T473" s="23" t="s">
        <v>4929</v>
      </c>
      <c r="U473" s="3">
        <v>34</v>
      </c>
      <c r="V473" s="3" t="s">
        <v>6065</v>
      </c>
      <c r="W473" s="45" t="str">
        <f>HYPERLINK("http://ictvonline.org/taxonomy/p/taxonomy-history?taxnode_id=201856358","ICTVonline=201856358")</f>
        <v>ICTVonline=201856358</v>
      </c>
      <c r="AA473" s="1">
        <v>201850000</v>
      </c>
      <c r="AB473" s="1">
        <v>34</v>
      </c>
    </row>
    <row r="474" spans="1:28" x14ac:dyDescent="0.15">
      <c r="A474" s="1">
        <v>1193</v>
      </c>
      <c r="B474" s="1" t="s">
        <v>7159</v>
      </c>
      <c r="F474" s="1" t="s">
        <v>5617</v>
      </c>
      <c r="G474" s="1" t="s">
        <v>5708</v>
      </c>
      <c r="H474" s="1" t="s">
        <v>5709</v>
      </c>
      <c r="J474" s="1" t="s">
        <v>4108</v>
      </c>
      <c r="L474" s="1" t="s">
        <v>4114</v>
      </c>
      <c r="N474" s="1" t="s">
        <v>1975</v>
      </c>
      <c r="P474" s="1" t="s">
        <v>6074</v>
      </c>
      <c r="Q474" s="3">
        <v>0</v>
      </c>
      <c r="S474" s="23" t="s">
        <v>5949</v>
      </c>
      <c r="T474" s="23" t="s">
        <v>4929</v>
      </c>
      <c r="U474" s="3">
        <v>34</v>
      </c>
      <c r="V474" s="3" t="s">
        <v>6065</v>
      </c>
      <c r="W474" s="45" t="str">
        <f>HYPERLINK("http://ictvonline.org/taxonomy/p/taxonomy-history?taxnode_id=201856384","ICTVonline=201856384")</f>
        <v>ICTVonline=201856384</v>
      </c>
      <c r="AA474" s="1">
        <v>201850000</v>
      </c>
      <c r="AB474" s="1">
        <v>34</v>
      </c>
    </row>
    <row r="475" spans="1:28" x14ac:dyDescent="0.15">
      <c r="A475" s="1">
        <v>1195</v>
      </c>
      <c r="B475" s="1" t="s">
        <v>7159</v>
      </c>
      <c r="F475" s="1" t="s">
        <v>5617</v>
      </c>
      <c r="G475" s="1" t="s">
        <v>5708</v>
      </c>
      <c r="H475" s="1" t="s">
        <v>5709</v>
      </c>
      <c r="J475" s="1" t="s">
        <v>4108</v>
      </c>
      <c r="L475" s="1" t="s">
        <v>4114</v>
      </c>
      <c r="N475" s="1" t="s">
        <v>1975</v>
      </c>
      <c r="P475" s="1" t="s">
        <v>3708</v>
      </c>
      <c r="Q475" s="3">
        <v>0</v>
      </c>
      <c r="S475" s="23" t="s">
        <v>5949</v>
      </c>
      <c r="T475" s="23" t="s">
        <v>4931</v>
      </c>
      <c r="U475" s="3">
        <v>34</v>
      </c>
      <c r="W475" s="45" t="str">
        <f>HYPERLINK("http://ictvonline.org/taxonomy/p/taxonomy-history?taxnode_id=201850103","ICTVonline=201850103")</f>
        <v>ICTVonline=201850103</v>
      </c>
      <c r="AA475" s="1">
        <v>201850000</v>
      </c>
      <c r="AB475" s="1">
        <v>34</v>
      </c>
    </row>
    <row r="476" spans="1:28" x14ac:dyDescent="0.15">
      <c r="A476" s="1">
        <v>1197</v>
      </c>
      <c r="B476" s="1" t="s">
        <v>7159</v>
      </c>
      <c r="F476" s="1" t="s">
        <v>5617</v>
      </c>
      <c r="G476" s="1" t="s">
        <v>5708</v>
      </c>
      <c r="H476" s="1" t="s">
        <v>5709</v>
      </c>
      <c r="J476" s="1" t="s">
        <v>4108</v>
      </c>
      <c r="L476" s="1" t="s">
        <v>4114</v>
      </c>
      <c r="N476" s="1" t="s">
        <v>1975</v>
      </c>
      <c r="P476" s="1" t="s">
        <v>3709</v>
      </c>
      <c r="Q476" s="3">
        <v>0</v>
      </c>
      <c r="S476" s="23" t="s">
        <v>5949</v>
      </c>
      <c r="T476" s="23" t="s">
        <v>4931</v>
      </c>
      <c r="U476" s="3">
        <v>34</v>
      </c>
      <c r="W476" s="45" t="str">
        <f>HYPERLINK("http://ictvonline.org/taxonomy/p/taxonomy-history?taxnode_id=201850104","ICTVonline=201850104")</f>
        <v>ICTVonline=201850104</v>
      </c>
      <c r="AA476" s="1">
        <v>201850000</v>
      </c>
      <c r="AB476" s="1">
        <v>34</v>
      </c>
    </row>
    <row r="477" spans="1:28" x14ac:dyDescent="0.15">
      <c r="A477" s="1">
        <v>1199</v>
      </c>
      <c r="B477" s="1" t="s">
        <v>7159</v>
      </c>
      <c r="F477" s="1" t="s">
        <v>5617</v>
      </c>
      <c r="G477" s="1" t="s">
        <v>5708</v>
      </c>
      <c r="H477" s="1" t="s">
        <v>5709</v>
      </c>
      <c r="J477" s="1" t="s">
        <v>4108</v>
      </c>
      <c r="L477" s="1" t="s">
        <v>4114</v>
      </c>
      <c r="N477" s="1" t="s">
        <v>1975</v>
      </c>
      <c r="P477" s="1" t="s">
        <v>3710</v>
      </c>
      <c r="Q477" s="3">
        <v>0</v>
      </c>
      <c r="S477" s="23" t="s">
        <v>5949</v>
      </c>
      <c r="T477" s="23" t="s">
        <v>4931</v>
      </c>
      <c r="U477" s="3">
        <v>34</v>
      </c>
      <c r="W477" s="45" t="str">
        <f>HYPERLINK("http://ictvonline.org/taxonomy/p/taxonomy-history?taxnode_id=201850105","ICTVonline=201850105")</f>
        <v>ICTVonline=201850105</v>
      </c>
      <c r="AA477" s="1">
        <v>201850000</v>
      </c>
      <c r="AB477" s="1">
        <v>34</v>
      </c>
    </row>
    <row r="478" spans="1:28" x14ac:dyDescent="0.15">
      <c r="A478" s="1">
        <v>1201</v>
      </c>
      <c r="B478" s="1" t="s">
        <v>7159</v>
      </c>
      <c r="F478" s="1" t="s">
        <v>5617</v>
      </c>
      <c r="G478" s="1" t="s">
        <v>5708</v>
      </c>
      <c r="H478" s="1" t="s">
        <v>5709</v>
      </c>
      <c r="J478" s="1" t="s">
        <v>4108</v>
      </c>
      <c r="L478" s="1" t="s">
        <v>4114</v>
      </c>
      <c r="N478" s="1" t="s">
        <v>1975</v>
      </c>
      <c r="P478" s="1" t="s">
        <v>6075</v>
      </c>
      <c r="Q478" s="3">
        <v>0</v>
      </c>
      <c r="S478" s="23" t="s">
        <v>5949</v>
      </c>
      <c r="T478" s="23" t="s">
        <v>4929</v>
      </c>
      <c r="U478" s="3">
        <v>34</v>
      </c>
      <c r="V478" s="3" t="s">
        <v>6065</v>
      </c>
      <c r="W478" s="45" t="str">
        <f>HYPERLINK("http://ictvonline.org/taxonomy/p/taxonomy-history?taxnode_id=201856375","ICTVonline=201856375")</f>
        <v>ICTVonline=201856375</v>
      </c>
      <c r="AA478" s="1">
        <v>201850000</v>
      </c>
      <c r="AB478" s="1">
        <v>34</v>
      </c>
    </row>
    <row r="479" spans="1:28" x14ac:dyDescent="0.15">
      <c r="A479" s="1">
        <v>1203</v>
      </c>
      <c r="B479" s="1" t="s">
        <v>7159</v>
      </c>
      <c r="F479" s="1" t="s">
        <v>5617</v>
      </c>
      <c r="G479" s="1" t="s">
        <v>5708</v>
      </c>
      <c r="H479" s="1" t="s">
        <v>5709</v>
      </c>
      <c r="J479" s="1" t="s">
        <v>4108</v>
      </c>
      <c r="L479" s="1" t="s">
        <v>4114</v>
      </c>
      <c r="N479" s="1" t="s">
        <v>1975</v>
      </c>
      <c r="P479" s="1" t="s">
        <v>3711</v>
      </c>
      <c r="Q479" s="3">
        <v>0</v>
      </c>
      <c r="S479" s="23" t="s">
        <v>5949</v>
      </c>
      <c r="T479" s="23" t="s">
        <v>4931</v>
      </c>
      <c r="U479" s="3">
        <v>34</v>
      </c>
      <c r="W479" s="45" t="str">
        <f>HYPERLINK("http://ictvonline.org/taxonomy/p/taxonomy-history?taxnode_id=201850106","ICTVonline=201850106")</f>
        <v>ICTVonline=201850106</v>
      </c>
      <c r="AA479" s="1">
        <v>201850000</v>
      </c>
      <c r="AB479" s="1">
        <v>34</v>
      </c>
    </row>
    <row r="480" spans="1:28" x14ac:dyDescent="0.15">
      <c r="A480" s="1">
        <v>1205</v>
      </c>
      <c r="B480" s="1" t="s">
        <v>7159</v>
      </c>
      <c r="F480" s="1" t="s">
        <v>5617</v>
      </c>
      <c r="G480" s="1" t="s">
        <v>5708</v>
      </c>
      <c r="H480" s="1" t="s">
        <v>5709</v>
      </c>
      <c r="J480" s="1" t="s">
        <v>4108</v>
      </c>
      <c r="L480" s="1" t="s">
        <v>4114</v>
      </c>
      <c r="N480" s="1" t="s">
        <v>1975</v>
      </c>
      <c r="P480" s="1" t="s">
        <v>6076</v>
      </c>
      <c r="Q480" s="3">
        <v>0</v>
      </c>
      <c r="S480" s="23" t="s">
        <v>5949</v>
      </c>
      <c r="T480" s="23" t="s">
        <v>4929</v>
      </c>
      <c r="U480" s="3">
        <v>34</v>
      </c>
      <c r="V480" s="3" t="s">
        <v>6062</v>
      </c>
      <c r="W480" s="45" t="str">
        <f>HYPERLINK("http://ictvonline.org/taxonomy/p/taxonomy-history?taxnode_id=201856597","ICTVonline=201856597")</f>
        <v>ICTVonline=201856597</v>
      </c>
      <c r="AA480" s="1">
        <v>201850000</v>
      </c>
      <c r="AB480" s="1">
        <v>34</v>
      </c>
    </row>
    <row r="481" spans="1:28" x14ac:dyDescent="0.15">
      <c r="A481" s="1">
        <v>1207</v>
      </c>
      <c r="B481" s="1" t="s">
        <v>7159</v>
      </c>
      <c r="F481" s="1" t="s">
        <v>5617</v>
      </c>
      <c r="G481" s="1" t="s">
        <v>5708</v>
      </c>
      <c r="H481" s="1" t="s">
        <v>5709</v>
      </c>
      <c r="J481" s="1" t="s">
        <v>4108</v>
      </c>
      <c r="L481" s="1" t="s">
        <v>4114</v>
      </c>
      <c r="N481" s="1" t="s">
        <v>1975</v>
      </c>
      <c r="P481" s="1" t="s">
        <v>6077</v>
      </c>
      <c r="Q481" s="3">
        <v>0</v>
      </c>
      <c r="S481" s="23" t="s">
        <v>5949</v>
      </c>
      <c r="T481" s="23" t="s">
        <v>4929</v>
      </c>
      <c r="U481" s="3">
        <v>34</v>
      </c>
      <c r="V481" s="3" t="s">
        <v>6065</v>
      </c>
      <c r="W481" s="45" t="str">
        <f>HYPERLINK("http://ictvonline.org/taxonomy/p/taxonomy-history?taxnode_id=201856378","ICTVonline=201856378")</f>
        <v>ICTVonline=201856378</v>
      </c>
      <c r="AA481" s="1">
        <v>201850000</v>
      </c>
      <c r="AB481" s="1">
        <v>34</v>
      </c>
    </row>
    <row r="482" spans="1:28" x14ac:dyDescent="0.15">
      <c r="A482" s="1">
        <v>1209</v>
      </c>
      <c r="B482" s="1" t="s">
        <v>7159</v>
      </c>
      <c r="F482" s="1" t="s">
        <v>5617</v>
      </c>
      <c r="G482" s="1" t="s">
        <v>5708</v>
      </c>
      <c r="H482" s="1" t="s">
        <v>5709</v>
      </c>
      <c r="J482" s="1" t="s">
        <v>4108</v>
      </c>
      <c r="L482" s="1" t="s">
        <v>4114</v>
      </c>
      <c r="N482" s="1" t="s">
        <v>1975</v>
      </c>
      <c r="P482" s="1" t="s">
        <v>6078</v>
      </c>
      <c r="Q482" s="3">
        <v>0</v>
      </c>
      <c r="S482" s="23" t="s">
        <v>5949</v>
      </c>
      <c r="T482" s="23" t="s">
        <v>4929</v>
      </c>
      <c r="U482" s="3">
        <v>34</v>
      </c>
      <c r="V482" s="3" t="s">
        <v>6065</v>
      </c>
      <c r="W482" s="45" t="str">
        <f>HYPERLINK("http://ictvonline.org/taxonomy/p/taxonomy-history?taxnode_id=201856359","ICTVonline=201856359")</f>
        <v>ICTVonline=201856359</v>
      </c>
      <c r="AA482" s="1">
        <v>201850000</v>
      </c>
      <c r="AB482" s="1">
        <v>34</v>
      </c>
    </row>
    <row r="483" spans="1:28" x14ac:dyDescent="0.15">
      <c r="A483" s="1">
        <v>1211</v>
      </c>
      <c r="B483" s="1" t="s">
        <v>7159</v>
      </c>
      <c r="F483" s="1" t="s">
        <v>5617</v>
      </c>
      <c r="G483" s="1" t="s">
        <v>5708</v>
      </c>
      <c r="H483" s="1" t="s">
        <v>5709</v>
      </c>
      <c r="J483" s="1" t="s">
        <v>4108</v>
      </c>
      <c r="L483" s="1" t="s">
        <v>4114</v>
      </c>
      <c r="N483" s="1" t="s">
        <v>1975</v>
      </c>
      <c r="P483" s="1" t="s">
        <v>3712</v>
      </c>
      <c r="Q483" s="3">
        <v>0</v>
      </c>
      <c r="S483" s="23" t="s">
        <v>5949</v>
      </c>
      <c r="T483" s="23" t="s">
        <v>4931</v>
      </c>
      <c r="U483" s="3">
        <v>34</v>
      </c>
      <c r="W483" s="45" t="str">
        <f>HYPERLINK("http://ictvonline.org/taxonomy/p/taxonomy-history?taxnode_id=201850108","ICTVonline=201850108")</f>
        <v>ICTVonline=201850108</v>
      </c>
      <c r="AA483" s="1">
        <v>201850000</v>
      </c>
      <c r="AB483" s="1">
        <v>34</v>
      </c>
    </row>
    <row r="484" spans="1:28" x14ac:dyDescent="0.15">
      <c r="A484" s="1">
        <v>1213</v>
      </c>
      <c r="B484" s="1" t="s">
        <v>7159</v>
      </c>
      <c r="F484" s="1" t="s">
        <v>5617</v>
      </c>
      <c r="G484" s="1" t="s">
        <v>5708</v>
      </c>
      <c r="H484" s="1" t="s">
        <v>5709</v>
      </c>
      <c r="J484" s="1" t="s">
        <v>4108</v>
      </c>
      <c r="L484" s="1" t="s">
        <v>4114</v>
      </c>
      <c r="N484" s="1" t="s">
        <v>1975</v>
      </c>
      <c r="P484" s="1" t="s">
        <v>3713</v>
      </c>
      <c r="Q484" s="3">
        <v>0</v>
      </c>
      <c r="S484" s="23" t="s">
        <v>5949</v>
      </c>
      <c r="T484" s="23" t="s">
        <v>4931</v>
      </c>
      <c r="U484" s="3">
        <v>34</v>
      </c>
      <c r="W484" s="45" t="str">
        <f>HYPERLINK("http://ictvonline.org/taxonomy/p/taxonomy-history?taxnode_id=201850109","ICTVonline=201850109")</f>
        <v>ICTVonline=201850109</v>
      </c>
      <c r="AA484" s="1">
        <v>201850000</v>
      </c>
      <c r="AB484" s="1">
        <v>34</v>
      </c>
    </row>
    <row r="485" spans="1:28" x14ac:dyDescent="0.15">
      <c r="A485" s="1">
        <v>1215</v>
      </c>
      <c r="B485" s="1" t="s">
        <v>7159</v>
      </c>
      <c r="F485" s="1" t="s">
        <v>5617</v>
      </c>
      <c r="G485" s="1" t="s">
        <v>5708</v>
      </c>
      <c r="H485" s="1" t="s">
        <v>5709</v>
      </c>
      <c r="J485" s="1" t="s">
        <v>4108</v>
      </c>
      <c r="L485" s="1" t="s">
        <v>4114</v>
      </c>
      <c r="N485" s="1" t="s">
        <v>1975</v>
      </c>
      <c r="P485" s="1" t="s">
        <v>3714</v>
      </c>
      <c r="Q485" s="3">
        <v>0</v>
      </c>
      <c r="S485" s="23" t="s">
        <v>5949</v>
      </c>
      <c r="T485" s="23" t="s">
        <v>4931</v>
      </c>
      <c r="U485" s="3">
        <v>34</v>
      </c>
      <c r="W485" s="45" t="str">
        <f>HYPERLINK("http://ictvonline.org/taxonomy/p/taxonomy-history?taxnode_id=201850110","ICTVonline=201850110")</f>
        <v>ICTVonline=201850110</v>
      </c>
      <c r="AA485" s="1">
        <v>201850000</v>
      </c>
      <c r="AB485" s="1">
        <v>34</v>
      </c>
    </row>
    <row r="486" spans="1:28" x14ac:dyDescent="0.15">
      <c r="A486" s="1">
        <v>1217</v>
      </c>
      <c r="B486" s="1" t="s">
        <v>7159</v>
      </c>
      <c r="F486" s="1" t="s">
        <v>5617</v>
      </c>
      <c r="G486" s="1" t="s">
        <v>5708</v>
      </c>
      <c r="H486" s="1" t="s">
        <v>5709</v>
      </c>
      <c r="J486" s="1" t="s">
        <v>4108</v>
      </c>
      <c r="L486" s="1" t="s">
        <v>4114</v>
      </c>
      <c r="N486" s="1" t="s">
        <v>1975</v>
      </c>
      <c r="P486" s="1" t="s">
        <v>3715</v>
      </c>
      <c r="Q486" s="3">
        <v>0</v>
      </c>
      <c r="S486" s="23" t="s">
        <v>5949</v>
      </c>
      <c r="T486" s="23" t="s">
        <v>4931</v>
      </c>
      <c r="U486" s="3">
        <v>34</v>
      </c>
      <c r="W486" s="45" t="str">
        <f>HYPERLINK("http://ictvonline.org/taxonomy/p/taxonomy-history?taxnode_id=201850111","ICTVonline=201850111")</f>
        <v>ICTVonline=201850111</v>
      </c>
      <c r="AA486" s="1">
        <v>201850000</v>
      </c>
      <c r="AB486" s="1">
        <v>34</v>
      </c>
    </row>
    <row r="487" spans="1:28" x14ac:dyDescent="0.15">
      <c r="A487" s="1">
        <v>1219</v>
      </c>
      <c r="B487" s="1" t="s">
        <v>7159</v>
      </c>
      <c r="F487" s="1" t="s">
        <v>5617</v>
      </c>
      <c r="G487" s="1" t="s">
        <v>5708</v>
      </c>
      <c r="H487" s="1" t="s">
        <v>5709</v>
      </c>
      <c r="J487" s="1" t="s">
        <v>4108</v>
      </c>
      <c r="L487" s="1" t="s">
        <v>4114</v>
      </c>
      <c r="N487" s="1" t="s">
        <v>1975</v>
      </c>
      <c r="P487" s="1" t="s">
        <v>6079</v>
      </c>
      <c r="Q487" s="3">
        <v>0</v>
      </c>
      <c r="S487" s="23" t="s">
        <v>5949</v>
      </c>
      <c r="T487" s="23" t="s">
        <v>4929</v>
      </c>
      <c r="U487" s="3">
        <v>34</v>
      </c>
      <c r="V487" s="3" t="s">
        <v>6065</v>
      </c>
      <c r="W487" s="45" t="str">
        <f>HYPERLINK("http://ictvonline.org/taxonomy/p/taxonomy-history?taxnode_id=201856385","ICTVonline=201856385")</f>
        <v>ICTVonline=201856385</v>
      </c>
      <c r="AA487" s="1">
        <v>201850000</v>
      </c>
      <c r="AB487" s="1">
        <v>34</v>
      </c>
    </row>
    <row r="488" spans="1:28" x14ac:dyDescent="0.15">
      <c r="A488" s="1">
        <v>1221</v>
      </c>
      <c r="B488" s="1" t="s">
        <v>7159</v>
      </c>
      <c r="F488" s="1" t="s">
        <v>5617</v>
      </c>
      <c r="G488" s="1" t="s">
        <v>5708</v>
      </c>
      <c r="H488" s="1" t="s">
        <v>5709</v>
      </c>
      <c r="J488" s="1" t="s">
        <v>4108</v>
      </c>
      <c r="L488" s="1" t="s">
        <v>4114</v>
      </c>
      <c r="N488" s="1" t="s">
        <v>1975</v>
      </c>
      <c r="P488" s="1" t="s">
        <v>6080</v>
      </c>
      <c r="Q488" s="3">
        <v>0</v>
      </c>
      <c r="S488" s="23" t="s">
        <v>5949</v>
      </c>
      <c r="T488" s="23" t="s">
        <v>4929</v>
      </c>
      <c r="U488" s="3">
        <v>34</v>
      </c>
      <c r="V488" s="3" t="s">
        <v>6065</v>
      </c>
      <c r="W488" s="45" t="str">
        <f>HYPERLINK("http://ictvonline.org/taxonomy/p/taxonomy-history?taxnode_id=201856360","ICTVonline=201856360")</f>
        <v>ICTVonline=201856360</v>
      </c>
      <c r="AA488" s="1">
        <v>201850000</v>
      </c>
      <c r="AB488" s="1">
        <v>34</v>
      </c>
    </row>
    <row r="489" spans="1:28" x14ac:dyDescent="0.15">
      <c r="A489" s="1">
        <v>1223</v>
      </c>
      <c r="B489" s="1" t="s">
        <v>7159</v>
      </c>
      <c r="F489" s="1" t="s">
        <v>5617</v>
      </c>
      <c r="G489" s="1" t="s">
        <v>5708</v>
      </c>
      <c r="H489" s="1" t="s">
        <v>5709</v>
      </c>
      <c r="J489" s="1" t="s">
        <v>4108</v>
      </c>
      <c r="L489" s="1" t="s">
        <v>4114</v>
      </c>
      <c r="N489" s="1" t="s">
        <v>1975</v>
      </c>
      <c r="P489" s="1" t="s">
        <v>6081</v>
      </c>
      <c r="Q489" s="3">
        <v>0</v>
      </c>
      <c r="S489" s="23" t="s">
        <v>5949</v>
      </c>
      <c r="T489" s="23" t="s">
        <v>4929</v>
      </c>
      <c r="U489" s="3">
        <v>34</v>
      </c>
      <c r="V489" s="3" t="s">
        <v>6065</v>
      </c>
      <c r="W489" s="45" t="str">
        <f>HYPERLINK("http://ictvonline.org/taxonomy/p/taxonomy-history?taxnode_id=201856376","ICTVonline=201856376")</f>
        <v>ICTVonline=201856376</v>
      </c>
      <c r="AA489" s="1">
        <v>201850000</v>
      </c>
      <c r="AB489" s="1">
        <v>34</v>
      </c>
    </row>
    <row r="490" spans="1:28" x14ac:dyDescent="0.15">
      <c r="A490" s="1">
        <v>1225</v>
      </c>
      <c r="B490" s="1" t="s">
        <v>7159</v>
      </c>
      <c r="F490" s="1" t="s">
        <v>5617</v>
      </c>
      <c r="G490" s="1" t="s">
        <v>5708</v>
      </c>
      <c r="H490" s="1" t="s">
        <v>5709</v>
      </c>
      <c r="J490" s="1" t="s">
        <v>4108</v>
      </c>
      <c r="L490" s="1" t="s">
        <v>4114</v>
      </c>
      <c r="N490" s="1" t="s">
        <v>1975</v>
      </c>
      <c r="P490" s="1" t="s">
        <v>6082</v>
      </c>
      <c r="Q490" s="3">
        <v>0</v>
      </c>
      <c r="S490" s="23" t="s">
        <v>5949</v>
      </c>
      <c r="T490" s="23" t="s">
        <v>4929</v>
      </c>
      <c r="U490" s="3">
        <v>34</v>
      </c>
      <c r="V490" s="3" t="s">
        <v>6065</v>
      </c>
      <c r="W490" s="45" t="str">
        <f>HYPERLINK("http://ictvonline.org/taxonomy/p/taxonomy-history?taxnode_id=201856364","ICTVonline=201856364")</f>
        <v>ICTVonline=201856364</v>
      </c>
      <c r="AA490" s="1">
        <v>201850000</v>
      </c>
      <c r="AB490" s="1">
        <v>34</v>
      </c>
    </row>
    <row r="491" spans="1:28" x14ac:dyDescent="0.15">
      <c r="A491" s="1">
        <v>1227</v>
      </c>
      <c r="B491" s="1" t="s">
        <v>7159</v>
      </c>
      <c r="F491" s="1" t="s">
        <v>5617</v>
      </c>
      <c r="G491" s="1" t="s">
        <v>5708</v>
      </c>
      <c r="H491" s="1" t="s">
        <v>5709</v>
      </c>
      <c r="J491" s="1" t="s">
        <v>4108</v>
      </c>
      <c r="L491" s="1" t="s">
        <v>4114</v>
      </c>
      <c r="N491" s="1" t="s">
        <v>1975</v>
      </c>
      <c r="P491" s="1" t="s">
        <v>6083</v>
      </c>
      <c r="Q491" s="3">
        <v>0</v>
      </c>
      <c r="S491" s="23" t="s">
        <v>5949</v>
      </c>
      <c r="T491" s="23" t="s">
        <v>4929</v>
      </c>
      <c r="U491" s="3">
        <v>34</v>
      </c>
      <c r="V491" s="3" t="s">
        <v>6065</v>
      </c>
      <c r="W491" s="45" t="str">
        <f>HYPERLINK("http://ictvonline.org/taxonomy/p/taxonomy-history?taxnode_id=201856388","ICTVonline=201856388")</f>
        <v>ICTVonline=201856388</v>
      </c>
      <c r="AA491" s="1">
        <v>201850000</v>
      </c>
      <c r="AB491" s="1">
        <v>34</v>
      </c>
    </row>
    <row r="492" spans="1:28" x14ac:dyDescent="0.15">
      <c r="A492" s="1">
        <v>1229</v>
      </c>
      <c r="B492" s="1" t="s">
        <v>7159</v>
      </c>
      <c r="F492" s="1" t="s">
        <v>5617</v>
      </c>
      <c r="G492" s="1" t="s">
        <v>5708</v>
      </c>
      <c r="H492" s="1" t="s">
        <v>5709</v>
      </c>
      <c r="J492" s="1" t="s">
        <v>4108</v>
      </c>
      <c r="L492" s="1" t="s">
        <v>4114</v>
      </c>
      <c r="N492" s="1" t="s">
        <v>1975</v>
      </c>
      <c r="P492" s="1" t="s">
        <v>3716</v>
      </c>
      <c r="Q492" s="3">
        <v>0</v>
      </c>
      <c r="S492" s="23" t="s">
        <v>5949</v>
      </c>
      <c r="T492" s="23" t="s">
        <v>4931</v>
      </c>
      <c r="U492" s="3">
        <v>34</v>
      </c>
      <c r="W492" s="45" t="str">
        <f>HYPERLINK("http://ictvonline.org/taxonomy/p/taxonomy-history?taxnode_id=201850112","ICTVonline=201850112")</f>
        <v>ICTVonline=201850112</v>
      </c>
      <c r="AA492" s="1">
        <v>201850000</v>
      </c>
      <c r="AB492" s="1">
        <v>34</v>
      </c>
    </row>
    <row r="493" spans="1:28" x14ac:dyDescent="0.15">
      <c r="A493" s="1">
        <v>1231</v>
      </c>
      <c r="B493" s="1" t="s">
        <v>7159</v>
      </c>
      <c r="F493" s="1" t="s">
        <v>5617</v>
      </c>
      <c r="G493" s="1" t="s">
        <v>5708</v>
      </c>
      <c r="H493" s="1" t="s">
        <v>5709</v>
      </c>
      <c r="J493" s="1" t="s">
        <v>4108</v>
      </c>
      <c r="L493" s="1" t="s">
        <v>4114</v>
      </c>
      <c r="N493" s="1" t="s">
        <v>1975</v>
      </c>
      <c r="P493" s="1" t="s">
        <v>3717</v>
      </c>
      <c r="Q493" s="3">
        <v>0</v>
      </c>
      <c r="S493" s="23" t="s">
        <v>5949</v>
      </c>
      <c r="T493" s="23" t="s">
        <v>4931</v>
      </c>
      <c r="U493" s="3">
        <v>34</v>
      </c>
      <c r="W493" s="45" t="str">
        <f>HYPERLINK("http://ictvonline.org/taxonomy/p/taxonomy-history?taxnode_id=201850113","ICTVonline=201850113")</f>
        <v>ICTVonline=201850113</v>
      </c>
      <c r="AA493" s="1">
        <v>201850000</v>
      </c>
      <c r="AB493" s="1">
        <v>34</v>
      </c>
    </row>
    <row r="494" spans="1:28" x14ac:dyDescent="0.15">
      <c r="A494" s="1">
        <v>1233</v>
      </c>
      <c r="B494" s="1" t="s">
        <v>7159</v>
      </c>
      <c r="F494" s="1" t="s">
        <v>5617</v>
      </c>
      <c r="G494" s="1" t="s">
        <v>5708</v>
      </c>
      <c r="H494" s="1" t="s">
        <v>5709</v>
      </c>
      <c r="J494" s="1" t="s">
        <v>4108</v>
      </c>
      <c r="L494" s="1" t="s">
        <v>4114</v>
      </c>
      <c r="N494" s="1" t="s">
        <v>1975</v>
      </c>
      <c r="P494" s="1" t="s">
        <v>6084</v>
      </c>
      <c r="Q494" s="3">
        <v>0</v>
      </c>
      <c r="S494" s="23" t="s">
        <v>5949</v>
      </c>
      <c r="T494" s="23" t="s">
        <v>4929</v>
      </c>
      <c r="U494" s="3">
        <v>34</v>
      </c>
      <c r="V494" s="3" t="s">
        <v>6065</v>
      </c>
      <c r="W494" s="45" t="str">
        <f>HYPERLINK("http://ictvonline.org/taxonomy/p/taxonomy-history?taxnode_id=201856365","ICTVonline=201856365")</f>
        <v>ICTVonline=201856365</v>
      </c>
      <c r="AA494" s="1">
        <v>201850000</v>
      </c>
      <c r="AB494" s="1">
        <v>34</v>
      </c>
    </row>
    <row r="495" spans="1:28" x14ac:dyDescent="0.15">
      <c r="A495" s="1">
        <v>1235</v>
      </c>
      <c r="B495" s="1" t="s">
        <v>7159</v>
      </c>
      <c r="F495" s="1" t="s">
        <v>5617</v>
      </c>
      <c r="G495" s="1" t="s">
        <v>5708</v>
      </c>
      <c r="H495" s="1" t="s">
        <v>5709</v>
      </c>
      <c r="J495" s="1" t="s">
        <v>4108</v>
      </c>
      <c r="L495" s="1" t="s">
        <v>4114</v>
      </c>
      <c r="N495" s="1" t="s">
        <v>1975</v>
      </c>
      <c r="P495" s="1" t="s">
        <v>3718</v>
      </c>
      <c r="Q495" s="3">
        <v>0</v>
      </c>
      <c r="S495" s="23" t="s">
        <v>5949</v>
      </c>
      <c r="T495" s="23" t="s">
        <v>4931</v>
      </c>
      <c r="U495" s="3">
        <v>34</v>
      </c>
      <c r="W495" s="45" t="str">
        <f>HYPERLINK("http://ictvonline.org/taxonomy/p/taxonomy-history?taxnode_id=201850114","ICTVonline=201850114")</f>
        <v>ICTVonline=201850114</v>
      </c>
      <c r="AA495" s="1">
        <v>201850000</v>
      </c>
      <c r="AB495" s="1">
        <v>34</v>
      </c>
    </row>
    <row r="496" spans="1:28" x14ac:dyDescent="0.15">
      <c r="A496" s="1">
        <v>1237</v>
      </c>
      <c r="B496" s="1" t="s">
        <v>7159</v>
      </c>
      <c r="F496" s="1" t="s">
        <v>5617</v>
      </c>
      <c r="G496" s="1" t="s">
        <v>5708</v>
      </c>
      <c r="H496" s="1" t="s">
        <v>5709</v>
      </c>
      <c r="J496" s="1" t="s">
        <v>4108</v>
      </c>
      <c r="L496" s="1" t="s">
        <v>4114</v>
      </c>
      <c r="N496" s="1" t="s">
        <v>1975</v>
      </c>
      <c r="P496" s="1" t="s">
        <v>6085</v>
      </c>
      <c r="Q496" s="3">
        <v>0</v>
      </c>
      <c r="S496" s="23" t="s">
        <v>5949</v>
      </c>
      <c r="T496" s="23" t="s">
        <v>4929</v>
      </c>
      <c r="U496" s="3">
        <v>34</v>
      </c>
      <c r="V496" s="3" t="s">
        <v>6065</v>
      </c>
      <c r="W496" s="45" t="str">
        <f>HYPERLINK("http://ictvonline.org/taxonomy/p/taxonomy-history?taxnode_id=201856366","ICTVonline=201856366")</f>
        <v>ICTVonline=201856366</v>
      </c>
      <c r="AA496" s="1">
        <v>201850000</v>
      </c>
      <c r="AB496" s="1">
        <v>34</v>
      </c>
    </row>
    <row r="497" spans="1:28" x14ac:dyDescent="0.15">
      <c r="A497" s="1">
        <v>1239</v>
      </c>
      <c r="B497" s="1" t="s">
        <v>7159</v>
      </c>
      <c r="F497" s="1" t="s">
        <v>5617</v>
      </c>
      <c r="G497" s="1" t="s">
        <v>5708</v>
      </c>
      <c r="H497" s="1" t="s">
        <v>5709</v>
      </c>
      <c r="J497" s="1" t="s">
        <v>4108</v>
      </c>
      <c r="L497" s="1" t="s">
        <v>4114</v>
      </c>
      <c r="N497" s="1" t="s">
        <v>1975</v>
      </c>
      <c r="P497" s="1" t="s">
        <v>6086</v>
      </c>
      <c r="Q497" s="3">
        <v>0</v>
      </c>
      <c r="S497" s="23" t="s">
        <v>5949</v>
      </c>
      <c r="T497" s="23" t="s">
        <v>4929</v>
      </c>
      <c r="U497" s="3">
        <v>34</v>
      </c>
      <c r="V497" s="3" t="s">
        <v>6065</v>
      </c>
      <c r="W497" s="45" t="str">
        <f>HYPERLINK("http://ictvonline.org/taxonomy/p/taxonomy-history?taxnode_id=201856389","ICTVonline=201856389")</f>
        <v>ICTVonline=201856389</v>
      </c>
      <c r="AA497" s="1">
        <v>201850000</v>
      </c>
      <c r="AB497" s="1">
        <v>34</v>
      </c>
    </row>
    <row r="498" spans="1:28" x14ac:dyDescent="0.15">
      <c r="A498" s="1">
        <v>1241</v>
      </c>
      <c r="B498" s="1" t="s">
        <v>7159</v>
      </c>
      <c r="F498" s="1" t="s">
        <v>5617</v>
      </c>
      <c r="G498" s="1" t="s">
        <v>5708</v>
      </c>
      <c r="H498" s="1" t="s">
        <v>5709</v>
      </c>
      <c r="J498" s="1" t="s">
        <v>4108</v>
      </c>
      <c r="L498" s="1" t="s">
        <v>4114</v>
      </c>
      <c r="N498" s="1" t="s">
        <v>1975</v>
      </c>
      <c r="P498" s="1" t="s">
        <v>6087</v>
      </c>
      <c r="Q498" s="3">
        <v>0</v>
      </c>
      <c r="S498" s="23" t="s">
        <v>5949</v>
      </c>
      <c r="T498" s="23" t="s">
        <v>4929</v>
      </c>
      <c r="U498" s="3">
        <v>34</v>
      </c>
      <c r="V498" s="3" t="s">
        <v>6065</v>
      </c>
      <c r="W498" s="45" t="str">
        <f>HYPERLINK("http://ictvonline.org/taxonomy/p/taxonomy-history?taxnode_id=201856367","ICTVonline=201856367")</f>
        <v>ICTVonline=201856367</v>
      </c>
      <c r="AA498" s="1">
        <v>201850000</v>
      </c>
      <c r="AB498" s="1">
        <v>34</v>
      </c>
    </row>
    <row r="499" spans="1:28" x14ac:dyDescent="0.15">
      <c r="A499" s="1">
        <v>1243</v>
      </c>
      <c r="B499" s="1" t="s">
        <v>7159</v>
      </c>
      <c r="F499" s="1" t="s">
        <v>5617</v>
      </c>
      <c r="G499" s="1" t="s">
        <v>5708</v>
      </c>
      <c r="H499" s="1" t="s">
        <v>5709</v>
      </c>
      <c r="J499" s="1" t="s">
        <v>4108</v>
      </c>
      <c r="L499" s="1" t="s">
        <v>4114</v>
      </c>
      <c r="N499" s="1" t="s">
        <v>1975</v>
      </c>
      <c r="P499" s="1" t="s">
        <v>6088</v>
      </c>
      <c r="Q499" s="3">
        <v>0</v>
      </c>
      <c r="S499" s="23" t="s">
        <v>5949</v>
      </c>
      <c r="T499" s="23" t="s">
        <v>4929</v>
      </c>
      <c r="U499" s="3">
        <v>34</v>
      </c>
      <c r="V499" s="3" t="s">
        <v>6065</v>
      </c>
      <c r="W499" s="45" t="str">
        <f>HYPERLINK("http://ictvonline.org/taxonomy/p/taxonomy-history?taxnode_id=201856386","ICTVonline=201856386")</f>
        <v>ICTVonline=201856386</v>
      </c>
      <c r="AA499" s="1">
        <v>201850000</v>
      </c>
      <c r="AB499" s="1">
        <v>34</v>
      </c>
    </row>
    <row r="500" spans="1:28" x14ac:dyDescent="0.15">
      <c r="A500" s="1">
        <v>1245</v>
      </c>
      <c r="B500" s="1" t="s">
        <v>7159</v>
      </c>
      <c r="F500" s="1" t="s">
        <v>5617</v>
      </c>
      <c r="G500" s="1" t="s">
        <v>5708</v>
      </c>
      <c r="H500" s="1" t="s">
        <v>5709</v>
      </c>
      <c r="J500" s="1" t="s">
        <v>4108</v>
      </c>
      <c r="L500" s="1" t="s">
        <v>4114</v>
      </c>
      <c r="N500" s="1" t="s">
        <v>1975</v>
      </c>
      <c r="P500" s="1" t="s">
        <v>3719</v>
      </c>
      <c r="Q500" s="3">
        <v>0</v>
      </c>
      <c r="S500" s="23" t="s">
        <v>5949</v>
      </c>
      <c r="T500" s="23" t="s">
        <v>4931</v>
      </c>
      <c r="U500" s="3">
        <v>34</v>
      </c>
      <c r="W500" s="45" t="str">
        <f>HYPERLINK("http://ictvonline.org/taxonomy/p/taxonomy-history?taxnode_id=201850115","ICTVonline=201850115")</f>
        <v>ICTVonline=201850115</v>
      </c>
      <c r="AA500" s="1">
        <v>201850000</v>
      </c>
      <c r="AB500" s="1">
        <v>34</v>
      </c>
    </row>
    <row r="501" spans="1:28" x14ac:dyDescent="0.15">
      <c r="A501" s="1">
        <v>1247</v>
      </c>
      <c r="B501" s="1" t="s">
        <v>7159</v>
      </c>
      <c r="F501" s="1" t="s">
        <v>5617</v>
      </c>
      <c r="G501" s="1" t="s">
        <v>5708</v>
      </c>
      <c r="H501" s="1" t="s">
        <v>5709</v>
      </c>
      <c r="J501" s="1" t="s">
        <v>4108</v>
      </c>
      <c r="L501" s="1" t="s">
        <v>4114</v>
      </c>
      <c r="N501" s="1" t="s">
        <v>1975</v>
      </c>
      <c r="P501" s="1" t="s">
        <v>6089</v>
      </c>
      <c r="Q501" s="3">
        <v>0</v>
      </c>
      <c r="S501" s="23" t="s">
        <v>5949</v>
      </c>
      <c r="T501" s="23" t="s">
        <v>4929</v>
      </c>
      <c r="U501" s="3">
        <v>34</v>
      </c>
      <c r="V501" s="3" t="s">
        <v>6065</v>
      </c>
      <c r="W501" s="45" t="str">
        <f>HYPERLINK("http://ictvonline.org/taxonomy/p/taxonomy-history?taxnode_id=201856361","ICTVonline=201856361")</f>
        <v>ICTVonline=201856361</v>
      </c>
      <c r="AA501" s="1">
        <v>201850000</v>
      </c>
      <c r="AB501" s="1">
        <v>34</v>
      </c>
    </row>
    <row r="502" spans="1:28" x14ac:dyDescent="0.15">
      <c r="A502" s="1">
        <v>1249</v>
      </c>
      <c r="B502" s="1" t="s">
        <v>7159</v>
      </c>
      <c r="F502" s="1" t="s">
        <v>5617</v>
      </c>
      <c r="G502" s="1" t="s">
        <v>5708</v>
      </c>
      <c r="H502" s="1" t="s">
        <v>5709</v>
      </c>
      <c r="J502" s="1" t="s">
        <v>4108</v>
      </c>
      <c r="L502" s="1" t="s">
        <v>4114</v>
      </c>
      <c r="N502" s="1" t="s">
        <v>1975</v>
      </c>
      <c r="P502" s="1" t="s">
        <v>3720</v>
      </c>
      <c r="Q502" s="3">
        <v>0</v>
      </c>
      <c r="S502" s="23" t="s">
        <v>5949</v>
      </c>
      <c r="T502" s="23" t="s">
        <v>4931</v>
      </c>
      <c r="U502" s="3">
        <v>34</v>
      </c>
      <c r="W502" s="45" t="str">
        <f>HYPERLINK("http://ictvonline.org/taxonomy/p/taxonomy-history?taxnode_id=201850116","ICTVonline=201850116")</f>
        <v>ICTVonline=201850116</v>
      </c>
      <c r="AA502" s="1">
        <v>201850000</v>
      </c>
      <c r="AB502" s="1">
        <v>34</v>
      </c>
    </row>
    <row r="503" spans="1:28" x14ac:dyDescent="0.15">
      <c r="A503" s="1">
        <v>1251</v>
      </c>
      <c r="B503" s="1" t="s">
        <v>7159</v>
      </c>
      <c r="F503" s="1" t="s">
        <v>5617</v>
      </c>
      <c r="G503" s="1" t="s">
        <v>5708</v>
      </c>
      <c r="H503" s="1" t="s">
        <v>5709</v>
      </c>
      <c r="J503" s="1" t="s">
        <v>4108</v>
      </c>
      <c r="L503" s="1" t="s">
        <v>4114</v>
      </c>
      <c r="N503" s="1" t="s">
        <v>1975</v>
      </c>
      <c r="P503" s="1" t="s">
        <v>3721</v>
      </c>
      <c r="Q503" s="3">
        <v>0</v>
      </c>
      <c r="S503" s="23" t="s">
        <v>5949</v>
      </c>
      <c r="T503" s="23" t="s">
        <v>4931</v>
      </c>
      <c r="U503" s="3">
        <v>34</v>
      </c>
      <c r="W503" s="45" t="str">
        <f>HYPERLINK("http://ictvonline.org/taxonomy/p/taxonomy-history?taxnode_id=201850117","ICTVonline=201850117")</f>
        <v>ICTVonline=201850117</v>
      </c>
      <c r="AA503" s="1">
        <v>201850000</v>
      </c>
      <c r="AB503" s="1">
        <v>34</v>
      </c>
    </row>
    <row r="504" spans="1:28" x14ac:dyDescent="0.15">
      <c r="A504" s="1">
        <v>1253</v>
      </c>
      <c r="B504" s="1" t="s">
        <v>7159</v>
      </c>
      <c r="F504" s="1" t="s">
        <v>5617</v>
      </c>
      <c r="G504" s="1" t="s">
        <v>5708</v>
      </c>
      <c r="H504" s="1" t="s">
        <v>5709</v>
      </c>
      <c r="J504" s="1" t="s">
        <v>4108</v>
      </c>
      <c r="L504" s="1" t="s">
        <v>4114</v>
      </c>
      <c r="N504" s="1" t="s">
        <v>1975</v>
      </c>
      <c r="P504" s="1" t="s">
        <v>3722</v>
      </c>
      <c r="Q504" s="3">
        <v>0</v>
      </c>
      <c r="S504" s="23" t="s">
        <v>5949</v>
      </c>
      <c r="T504" s="23" t="s">
        <v>4931</v>
      </c>
      <c r="U504" s="3">
        <v>34</v>
      </c>
      <c r="W504" s="45" t="str">
        <f>HYPERLINK("http://ictvonline.org/taxonomy/p/taxonomy-history?taxnode_id=201850118","ICTVonline=201850118")</f>
        <v>ICTVonline=201850118</v>
      </c>
      <c r="AA504" s="1">
        <v>201850000</v>
      </c>
      <c r="AB504" s="1">
        <v>34</v>
      </c>
    </row>
    <row r="505" spans="1:28" x14ac:dyDescent="0.15">
      <c r="A505" s="1">
        <v>1255</v>
      </c>
      <c r="B505" s="1" t="s">
        <v>7159</v>
      </c>
      <c r="F505" s="1" t="s">
        <v>5617</v>
      </c>
      <c r="G505" s="1" t="s">
        <v>5708</v>
      </c>
      <c r="H505" s="1" t="s">
        <v>5709</v>
      </c>
      <c r="J505" s="1" t="s">
        <v>4108</v>
      </c>
      <c r="L505" s="1" t="s">
        <v>4114</v>
      </c>
      <c r="N505" s="1" t="s">
        <v>1975</v>
      </c>
      <c r="P505" s="1" t="s">
        <v>6090</v>
      </c>
      <c r="Q505" s="3">
        <v>0</v>
      </c>
      <c r="S505" s="23" t="s">
        <v>5949</v>
      </c>
      <c r="T505" s="23" t="s">
        <v>4929</v>
      </c>
      <c r="U505" s="3">
        <v>34</v>
      </c>
      <c r="V505" s="3" t="s">
        <v>6065</v>
      </c>
      <c r="W505" s="45" t="str">
        <f>HYPERLINK("http://ictvonline.org/taxonomy/p/taxonomy-history?taxnode_id=201856368","ICTVonline=201856368")</f>
        <v>ICTVonline=201856368</v>
      </c>
      <c r="AA505" s="1">
        <v>201850000</v>
      </c>
      <c r="AB505" s="1">
        <v>34</v>
      </c>
    </row>
    <row r="506" spans="1:28" x14ac:dyDescent="0.15">
      <c r="A506" s="1">
        <v>1257</v>
      </c>
      <c r="B506" s="1" t="s">
        <v>7159</v>
      </c>
      <c r="F506" s="1" t="s">
        <v>5617</v>
      </c>
      <c r="G506" s="1" t="s">
        <v>5708</v>
      </c>
      <c r="H506" s="1" t="s">
        <v>5709</v>
      </c>
      <c r="J506" s="1" t="s">
        <v>4108</v>
      </c>
      <c r="L506" s="1" t="s">
        <v>4114</v>
      </c>
      <c r="N506" s="1" t="s">
        <v>1975</v>
      </c>
      <c r="P506" s="1" t="s">
        <v>6091</v>
      </c>
      <c r="Q506" s="3">
        <v>0</v>
      </c>
      <c r="S506" s="23" t="s">
        <v>5949</v>
      </c>
      <c r="T506" s="23" t="s">
        <v>4929</v>
      </c>
      <c r="U506" s="3">
        <v>34</v>
      </c>
      <c r="V506" s="3" t="s">
        <v>6065</v>
      </c>
      <c r="W506" s="45" t="str">
        <f>HYPERLINK("http://ictvonline.org/taxonomy/p/taxonomy-history?taxnode_id=201856377","ICTVonline=201856377")</f>
        <v>ICTVonline=201856377</v>
      </c>
      <c r="AA506" s="1">
        <v>201850000</v>
      </c>
      <c r="AB506" s="1">
        <v>34</v>
      </c>
    </row>
    <row r="507" spans="1:28" x14ac:dyDescent="0.15">
      <c r="A507" s="1">
        <v>1259</v>
      </c>
      <c r="B507" s="1" t="s">
        <v>7159</v>
      </c>
      <c r="F507" s="1" t="s">
        <v>5617</v>
      </c>
      <c r="G507" s="1" t="s">
        <v>5708</v>
      </c>
      <c r="H507" s="1" t="s">
        <v>5709</v>
      </c>
      <c r="J507" s="1" t="s">
        <v>4108</v>
      </c>
      <c r="L507" s="1" t="s">
        <v>4114</v>
      </c>
      <c r="N507" s="1" t="s">
        <v>1975</v>
      </c>
      <c r="P507" s="1" t="s">
        <v>3723</v>
      </c>
      <c r="Q507" s="3">
        <v>0</v>
      </c>
      <c r="S507" s="23" t="s">
        <v>5949</v>
      </c>
      <c r="T507" s="23" t="s">
        <v>4931</v>
      </c>
      <c r="U507" s="3">
        <v>34</v>
      </c>
      <c r="W507" s="45" t="str">
        <f>HYPERLINK("http://ictvonline.org/taxonomy/p/taxonomy-history?taxnode_id=201850119","ICTVonline=201850119")</f>
        <v>ICTVonline=201850119</v>
      </c>
      <c r="AA507" s="1">
        <v>201850000</v>
      </c>
      <c r="AB507" s="1">
        <v>34</v>
      </c>
    </row>
    <row r="508" spans="1:28" x14ac:dyDescent="0.15">
      <c r="A508" s="1">
        <v>1261</v>
      </c>
      <c r="B508" s="1" t="s">
        <v>7159</v>
      </c>
      <c r="F508" s="1" t="s">
        <v>5617</v>
      </c>
      <c r="G508" s="1" t="s">
        <v>5708</v>
      </c>
      <c r="H508" s="1" t="s">
        <v>5709</v>
      </c>
      <c r="J508" s="1" t="s">
        <v>4108</v>
      </c>
      <c r="L508" s="1" t="s">
        <v>4114</v>
      </c>
      <c r="N508" s="1" t="s">
        <v>1975</v>
      </c>
      <c r="P508" s="1" t="s">
        <v>3724</v>
      </c>
      <c r="Q508" s="3">
        <v>0</v>
      </c>
      <c r="S508" s="23" t="s">
        <v>5949</v>
      </c>
      <c r="T508" s="23" t="s">
        <v>4931</v>
      </c>
      <c r="U508" s="3">
        <v>34</v>
      </c>
      <c r="W508" s="45" t="str">
        <f>HYPERLINK("http://ictvonline.org/taxonomy/p/taxonomy-history?taxnode_id=201850120","ICTVonline=201850120")</f>
        <v>ICTVonline=201850120</v>
      </c>
      <c r="AA508" s="1">
        <v>201850000</v>
      </c>
      <c r="AB508" s="1">
        <v>34</v>
      </c>
    </row>
    <row r="509" spans="1:28" x14ac:dyDescent="0.15">
      <c r="A509" s="1">
        <v>1263</v>
      </c>
      <c r="B509" s="1" t="s">
        <v>7159</v>
      </c>
      <c r="F509" s="1" t="s">
        <v>5617</v>
      </c>
      <c r="G509" s="1" t="s">
        <v>5708</v>
      </c>
      <c r="H509" s="1" t="s">
        <v>5709</v>
      </c>
      <c r="J509" s="1" t="s">
        <v>4108</v>
      </c>
      <c r="L509" s="1" t="s">
        <v>4114</v>
      </c>
      <c r="N509" s="1" t="s">
        <v>1975</v>
      </c>
      <c r="P509" s="1" t="s">
        <v>3725</v>
      </c>
      <c r="Q509" s="3">
        <v>0</v>
      </c>
      <c r="S509" s="23" t="s">
        <v>5949</v>
      </c>
      <c r="T509" s="23" t="s">
        <v>4931</v>
      </c>
      <c r="U509" s="3">
        <v>34</v>
      </c>
      <c r="W509" s="45" t="str">
        <f>HYPERLINK("http://ictvonline.org/taxonomy/p/taxonomy-history?taxnode_id=201850121","ICTVonline=201850121")</f>
        <v>ICTVonline=201850121</v>
      </c>
      <c r="AA509" s="1">
        <v>201850000</v>
      </c>
      <c r="AB509" s="1">
        <v>34</v>
      </c>
    </row>
    <row r="510" spans="1:28" x14ac:dyDescent="0.15">
      <c r="A510" s="1">
        <v>1265</v>
      </c>
      <c r="B510" s="1" t="s">
        <v>7159</v>
      </c>
      <c r="F510" s="1" t="s">
        <v>5617</v>
      </c>
      <c r="G510" s="1" t="s">
        <v>5708</v>
      </c>
      <c r="H510" s="1" t="s">
        <v>5709</v>
      </c>
      <c r="J510" s="1" t="s">
        <v>4108</v>
      </c>
      <c r="L510" s="1" t="s">
        <v>4114</v>
      </c>
      <c r="N510" s="1" t="s">
        <v>1975</v>
      </c>
      <c r="P510" s="1" t="s">
        <v>3726</v>
      </c>
      <c r="Q510" s="3">
        <v>0</v>
      </c>
      <c r="S510" s="23" t="s">
        <v>5949</v>
      </c>
      <c r="T510" s="23" t="s">
        <v>4931</v>
      </c>
      <c r="U510" s="3">
        <v>34</v>
      </c>
      <c r="W510" s="45" t="str">
        <f>HYPERLINK("http://ictvonline.org/taxonomy/p/taxonomy-history?taxnode_id=201850122","ICTVonline=201850122")</f>
        <v>ICTVonline=201850122</v>
      </c>
      <c r="AA510" s="1">
        <v>201850000</v>
      </c>
      <c r="AB510" s="1">
        <v>34</v>
      </c>
    </row>
    <row r="511" spans="1:28" x14ac:dyDescent="0.15">
      <c r="A511" s="1">
        <v>1267</v>
      </c>
      <c r="B511" s="1" t="s">
        <v>7159</v>
      </c>
      <c r="F511" s="1" t="s">
        <v>5617</v>
      </c>
      <c r="G511" s="1" t="s">
        <v>5708</v>
      </c>
      <c r="H511" s="1" t="s">
        <v>5709</v>
      </c>
      <c r="J511" s="1" t="s">
        <v>4108</v>
      </c>
      <c r="L511" s="1" t="s">
        <v>4114</v>
      </c>
      <c r="N511" s="1" t="s">
        <v>1975</v>
      </c>
      <c r="P511" s="1" t="s">
        <v>3727</v>
      </c>
      <c r="Q511" s="3">
        <v>0</v>
      </c>
      <c r="S511" s="23" t="s">
        <v>5949</v>
      </c>
      <c r="T511" s="23" t="s">
        <v>4931</v>
      </c>
      <c r="U511" s="3">
        <v>34</v>
      </c>
      <c r="W511" s="45" t="str">
        <f>HYPERLINK("http://ictvonline.org/taxonomy/p/taxonomy-history?taxnode_id=201850123","ICTVonline=201850123")</f>
        <v>ICTVonline=201850123</v>
      </c>
      <c r="AA511" s="1">
        <v>201850000</v>
      </c>
      <c r="AB511" s="1">
        <v>34</v>
      </c>
    </row>
    <row r="512" spans="1:28" x14ac:dyDescent="0.15">
      <c r="A512" s="1">
        <v>1269</v>
      </c>
      <c r="B512" s="1" t="s">
        <v>7159</v>
      </c>
      <c r="F512" s="1" t="s">
        <v>5617</v>
      </c>
      <c r="G512" s="1" t="s">
        <v>5708</v>
      </c>
      <c r="H512" s="1" t="s">
        <v>5709</v>
      </c>
      <c r="J512" s="1" t="s">
        <v>4108</v>
      </c>
      <c r="L512" s="1" t="s">
        <v>4114</v>
      </c>
      <c r="N512" s="1" t="s">
        <v>1975</v>
      </c>
      <c r="P512" s="1" t="s">
        <v>3728</v>
      </c>
      <c r="Q512" s="3">
        <v>0</v>
      </c>
      <c r="S512" s="23" t="s">
        <v>5949</v>
      </c>
      <c r="T512" s="23" t="s">
        <v>4931</v>
      </c>
      <c r="U512" s="3">
        <v>34</v>
      </c>
      <c r="W512" s="45" t="str">
        <f>HYPERLINK("http://ictvonline.org/taxonomy/p/taxonomy-history?taxnode_id=201850124","ICTVonline=201850124")</f>
        <v>ICTVonline=201850124</v>
      </c>
      <c r="AA512" s="1">
        <v>201850000</v>
      </c>
      <c r="AB512" s="1">
        <v>34</v>
      </c>
    </row>
    <row r="513" spans="1:28" x14ac:dyDescent="0.15">
      <c r="A513" s="1">
        <v>1271</v>
      </c>
      <c r="B513" s="1" t="s">
        <v>7159</v>
      </c>
      <c r="F513" s="1" t="s">
        <v>5617</v>
      </c>
      <c r="G513" s="1" t="s">
        <v>5708</v>
      </c>
      <c r="H513" s="1" t="s">
        <v>5709</v>
      </c>
      <c r="J513" s="1" t="s">
        <v>4108</v>
      </c>
      <c r="L513" s="1" t="s">
        <v>4114</v>
      </c>
      <c r="N513" s="1" t="s">
        <v>1975</v>
      </c>
      <c r="P513" s="1" t="s">
        <v>3729</v>
      </c>
      <c r="Q513" s="3">
        <v>0</v>
      </c>
      <c r="S513" s="23" t="s">
        <v>5949</v>
      </c>
      <c r="T513" s="23" t="s">
        <v>4931</v>
      </c>
      <c r="U513" s="3">
        <v>34</v>
      </c>
      <c r="W513" s="45" t="str">
        <f>HYPERLINK("http://ictvonline.org/taxonomy/p/taxonomy-history?taxnode_id=201850125","ICTVonline=201850125")</f>
        <v>ICTVonline=201850125</v>
      </c>
      <c r="AA513" s="1">
        <v>201850000</v>
      </c>
      <c r="AB513" s="1">
        <v>34</v>
      </c>
    </row>
    <row r="514" spans="1:28" x14ac:dyDescent="0.15">
      <c r="A514" s="1">
        <v>1273</v>
      </c>
      <c r="B514" s="1" t="s">
        <v>7159</v>
      </c>
      <c r="F514" s="1" t="s">
        <v>5617</v>
      </c>
      <c r="G514" s="1" t="s">
        <v>5708</v>
      </c>
      <c r="H514" s="1" t="s">
        <v>5709</v>
      </c>
      <c r="J514" s="1" t="s">
        <v>4108</v>
      </c>
      <c r="L514" s="1" t="s">
        <v>4114</v>
      </c>
      <c r="N514" s="1" t="s">
        <v>1975</v>
      </c>
      <c r="P514" s="1" t="s">
        <v>6092</v>
      </c>
      <c r="Q514" s="3">
        <v>0</v>
      </c>
      <c r="S514" s="23" t="s">
        <v>5949</v>
      </c>
      <c r="T514" s="23" t="s">
        <v>4929</v>
      </c>
      <c r="U514" s="3">
        <v>34</v>
      </c>
      <c r="V514" s="3" t="s">
        <v>6065</v>
      </c>
      <c r="W514" s="45" t="str">
        <f>HYPERLINK("http://ictvonline.org/taxonomy/p/taxonomy-history?taxnode_id=201856380","ICTVonline=201856380")</f>
        <v>ICTVonline=201856380</v>
      </c>
      <c r="AA514" s="1">
        <v>201850000</v>
      </c>
      <c r="AB514" s="1">
        <v>34</v>
      </c>
    </row>
    <row r="515" spans="1:28" x14ac:dyDescent="0.15">
      <c r="A515" s="1">
        <v>1275</v>
      </c>
      <c r="B515" s="1" t="s">
        <v>7159</v>
      </c>
      <c r="F515" s="1" t="s">
        <v>5617</v>
      </c>
      <c r="G515" s="1" t="s">
        <v>5708</v>
      </c>
      <c r="H515" s="1" t="s">
        <v>5709</v>
      </c>
      <c r="J515" s="1" t="s">
        <v>4108</v>
      </c>
      <c r="L515" s="1" t="s">
        <v>4114</v>
      </c>
      <c r="N515" s="1" t="s">
        <v>1975</v>
      </c>
      <c r="P515" s="1" t="s">
        <v>6093</v>
      </c>
      <c r="Q515" s="3">
        <v>0</v>
      </c>
      <c r="S515" s="23" t="s">
        <v>5949</v>
      </c>
      <c r="T515" s="23" t="s">
        <v>4929</v>
      </c>
      <c r="U515" s="3">
        <v>34</v>
      </c>
      <c r="V515" s="3" t="s">
        <v>6065</v>
      </c>
      <c r="W515" s="45" t="str">
        <f>HYPERLINK("http://ictvonline.org/taxonomy/p/taxonomy-history?taxnode_id=201856362","ICTVonline=201856362")</f>
        <v>ICTVonline=201856362</v>
      </c>
      <c r="AA515" s="1">
        <v>201850000</v>
      </c>
      <c r="AB515" s="1">
        <v>34</v>
      </c>
    </row>
    <row r="516" spans="1:28" x14ac:dyDescent="0.15">
      <c r="A516" s="1">
        <v>1277</v>
      </c>
      <c r="B516" s="1" t="s">
        <v>7159</v>
      </c>
      <c r="F516" s="1" t="s">
        <v>5617</v>
      </c>
      <c r="G516" s="1" t="s">
        <v>5708</v>
      </c>
      <c r="H516" s="1" t="s">
        <v>5709</v>
      </c>
      <c r="J516" s="1" t="s">
        <v>4108</v>
      </c>
      <c r="L516" s="1" t="s">
        <v>4114</v>
      </c>
      <c r="N516" s="1" t="s">
        <v>1975</v>
      </c>
      <c r="P516" s="1" t="s">
        <v>6094</v>
      </c>
      <c r="Q516" s="3">
        <v>0</v>
      </c>
      <c r="S516" s="23" t="s">
        <v>5949</v>
      </c>
      <c r="T516" s="23" t="s">
        <v>4929</v>
      </c>
      <c r="U516" s="3">
        <v>34</v>
      </c>
      <c r="V516" s="3" t="s">
        <v>6065</v>
      </c>
      <c r="W516" s="45" t="str">
        <f>HYPERLINK("http://ictvonline.org/taxonomy/p/taxonomy-history?taxnode_id=201856353","ICTVonline=201856353")</f>
        <v>ICTVonline=201856353</v>
      </c>
      <c r="AA516" s="1">
        <v>201850000</v>
      </c>
      <c r="AB516" s="1">
        <v>34</v>
      </c>
    </row>
    <row r="517" spans="1:28" x14ac:dyDescent="0.15">
      <c r="A517" s="1">
        <v>1279</v>
      </c>
      <c r="B517" s="1" t="s">
        <v>7159</v>
      </c>
      <c r="F517" s="1" t="s">
        <v>5617</v>
      </c>
      <c r="G517" s="1" t="s">
        <v>5708</v>
      </c>
      <c r="H517" s="1" t="s">
        <v>5709</v>
      </c>
      <c r="J517" s="1" t="s">
        <v>4108</v>
      </c>
      <c r="L517" s="1" t="s">
        <v>4114</v>
      </c>
      <c r="N517" s="1" t="s">
        <v>1975</v>
      </c>
      <c r="P517" s="1" t="s">
        <v>6095</v>
      </c>
      <c r="Q517" s="3">
        <v>0</v>
      </c>
      <c r="S517" s="23" t="s">
        <v>5949</v>
      </c>
      <c r="T517" s="23" t="s">
        <v>4929</v>
      </c>
      <c r="U517" s="3">
        <v>34</v>
      </c>
      <c r="V517" s="3" t="s">
        <v>6065</v>
      </c>
      <c r="W517" s="45" t="str">
        <f>HYPERLINK("http://ictvonline.org/taxonomy/p/taxonomy-history?taxnode_id=201856369","ICTVonline=201856369")</f>
        <v>ICTVonline=201856369</v>
      </c>
      <c r="AA517" s="1">
        <v>201850000</v>
      </c>
      <c r="AB517" s="1">
        <v>34</v>
      </c>
    </row>
    <row r="518" spans="1:28" x14ac:dyDescent="0.15">
      <c r="A518" s="1">
        <v>1281</v>
      </c>
      <c r="B518" s="1" t="s">
        <v>7159</v>
      </c>
      <c r="F518" s="1" t="s">
        <v>5617</v>
      </c>
      <c r="G518" s="1" t="s">
        <v>5708</v>
      </c>
      <c r="H518" s="1" t="s">
        <v>5709</v>
      </c>
      <c r="J518" s="1" t="s">
        <v>4108</v>
      </c>
      <c r="L518" s="1" t="s">
        <v>4114</v>
      </c>
      <c r="N518" s="1" t="s">
        <v>1975</v>
      </c>
      <c r="P518" s="1" t="s">
        <v>6096</v>
      </c>
      <c r="Q518" s="3">
        <v>0</v>
      </c>
      <c r="S518" s="23" t="s">
        <v>5949</v>
      </c>
      <c r="T518" s="23" t="s">
        <v>4929</v>
      </c>
      <c r="U518" s="3">
        <v>34</v>
      </c>
      <c r="V518" s="3" t="s">
        <v>6065</v>
      </c>
      <c r="W518" s="45" t="str">
        <f>HYPERLINK("http://ictvonline.org/taxonomy/p/taxonomy-history?taxnode_id=201856381","ICTVonline=201856381")</f>
        <v>ICTVonline=201856381</v>
      </c>
      <c r="AA518" s="1">
        <v>201850000</v>
      </c>
      <c r="AB518" s="1">
        <v>34</v>
      </c>
    </row>
    <row r="519" spans="1:28" x14ac:dyDescent="0.15">
      <c r="A519" s="1">
        <v>1283</v>
      </c>
      <c r="B519" s="1" t="s">
        <v>7159</v>
      </c>
      <c r="F519" s="1" t="s">
        <v>5617</v>
      </c>
      <c r="G519" s="1" t="s">
        <v>5708</v>
      </c>
      <c r="H519" s="1" t="s">
        <v>5709</v>
      </c>
      <c r="J519" s="1" t="s">
        <v>4108</v>
      </c>
      <c r="L519" s="1" t="s">
        <v>4114</v>
      </c>
      <c r="N519" s="1" t="s">
        <v>1975</v>
      </c>
      <c r="P519" s="1" t="s">
        <v>6097</v>
      </c>
      <c r="Q519" s="3">
        <v>0</v>
      </c>
      <c r="S519" s="23" t="s">
        <v>5949</v>
      </c>
      <c r="W519" s="45" t="str">
        <f>HYPERLINK("http://ictvonline.org/taxonomy/p/taxonomy-history?taxnode_id=201850126","ICTVonline=201850126")</f>
        <v>ICTVonline=201850126</v>
      </c>
      <c r="AA519" s="1">
        <v>201850000</v>
      </c>
      <c r="AB519" s="1">
        <v>34</v>
      </c>
    </row>
    <row r="520" spans="1:28" x14ac:dyDescent="0.15">
      <c r="A520" s="1">
        <v>1285</v>
      </c>
      <c r="B520" s="1" t="s">
        <v>7159</v>
      </c>
      <c r="F520" s="1" t="s">
        <v>5617</v>
      </c>
      <c r="G520" s="1" t="s">
        <v>5708</v>
      </c>
      <c r="H520" s="1" t="s">
        <v>5709</v>
      </c>
      <c r="J520" s="1" t="s">
        <v>4108</v>
      </c>
      <c r="L520" s="1" t="s">
        <v>4114</v>
      </c>
      <c r="N520" s="1" t="s">
        <v>1975</v>
      </c>
      <c r="P520" s="1" t="s">
        <v>6098</v>
      </c>
      <c r="Q520" s="3">
        <v>0</v>
      </c>
      <c r="S520" s="23" t="s">
        <v>5949</v>
      </c>
      <c r="T520" s="23" t="s">
        <v>4929</v>
      </c>
      <c r="U520" s="3">
        <v>34</v>
      </c>
      <c r="V520" s="3" t="s">
        <v>6065</v>
      </c>
      <c r="W520" s="45" t="str">
        <f>HYPERLINK("http://ictvonline.org/taxonomy/p/taxonomy-history?taxnode_id=201856370","ICTVonline=201856370")</f>
        <v>ICTVonline=201856370</v>
      </c>
      <c r="AA520" s="1">
        <v>201850000</v>
      </c>
      <c r="AB520" s="1">
        <v>34</v>
      </c>
    </row>
    <row r="521" spans="1:28" x14ac:dyDescent="0.15">
      <c r="A521" s="1">
        <v>1287</v>
      </c>
      <c r="B521" s="1" t="s">
        <v>7159</v>
      </c>
      <c r="F521" s="1" t="s">
        <v>5617</v>
      </c>
      <c r="G521" s="1" t="s">
        <v>5708</v>
      </c>
      <c r="H521" s="1" t="s">
        <v>5709</v>
      </c>
      <c r="J521" s="1" t="s">
        <v>4108</v>
      </c>
      <c r="L521" s="1" t="s">
        <v>4114</v>
      </c>
      <c r="N521" s="1" t="s">
        <v>1975</v>
      </c>
      <c r="P521" s="1" t="s">
        <v>3730</v>
      </c>
      <c r="Q521" s="3">
        <v>0</v>
      </c>
      <c r="S521" s="23" t="s">
        <v>5949</v>
      </c>
      <c r="T521" s="23" t="s">
        <v>4931</v>
      </c>
      <c r="U521" s="3">
        <v>34</v>
      </c>
      <c r="W521" s="45" t="str">
        <f>HYPERLINK("http://ictvonline.org/taxonomy/p/taxonomy-history?taxnode_id=201850128","ICTVonline=201850128")</f>
        <v>ICTVonline=201850128</v>
      </c>
      <c r="AA521" s="1">
        <v>201850000</v>
      </c>
      <c r="AB521" s="1">
        <v>34</v>
      </c>
    </row>
    <row r="522" spans="1:28" x14ac:dyDescent="0.15">
      <c r="A522" s="1">
        <v>1289</v>
      </c>
      <c r="B522" s="1" t="s">
        <v>7159</v>
      </c>
      <c r="F522" s="1" t="s">
        <v>5617</v>
      </c>
      <c r="G522" s="1" t="s">
        <v>5708</v>
      </c>
      <c r="H522" s="1" t="s">
        <v>5709</v>
      </c>
      <c r="J522" s="1" t="s">
        <v>4108</v>
      </c>
      <c r="L522" s="1" t="s">
        <v>4114</v>
      </c>
      <c r="N522" s="1" t="s">
        <v>1975</v>
      </c>
      <c r="P522" s="1" t="s">
        <v>3731</v>
      </c>
      <c r="Q522" s="3">
        <v>0</v>
      </c>
      <c r="S522" s="23" t="s">
        <v>5949</v>
      </c>
      <c r="T522" s="23" t="s">
        <v>4931</v>
      </c>
      <c r="U522" s="3">
        <v>34</v>
      </c>
      <c r="W522" s="45" t="str">
        <f>HYPERLINK("http://ictvonline.org/taxonomy/p/taxonomy-history?taxnode_id=201850129","ICTVonline=201850129")</f>
        <v>ICTVonline=201850129</v>
      </c>
      <c r="AA522" s="1">
        <v>201850000</v>
      </c>
      <c r="AB522" s="1">
        <v>34</v>
      </c>
    </row>
    <row r="523" spans="1:28" x14ac:dyDescent="0.15">
      <c r="A523" s="1">
        <v>1291</v>
      </c>
      <c r="B523" s="1" t="s">
        <v>7159</v>
      </c>
      <c r="F523" s="1" t="s">
        <v>5617</v>
      </c>
      <c r="G523" s="1" t="s">
        <v>5708</v>
      </c>
      <c r="H523" s="1" t="s">
        <v>5709</v>
      </c>
      <c r="J523" s="1" t="s">
        <v>4108</v>
      </c>
      <c r="L523" s="1" t="s">
        <v>4114</v>
      </c>
      <c r="N523" s="1" t="s">
        <v>1975</v>
      </c>
      <c r="P523" s="1" t="s">
        <v>6099</v>
      </c>
      <c r="Q523" s="3">
        <v>0</v>
      </c>
      <c r="S523" s="23" t="s">
        <v>5949</v>
      </c>
      <c r="T523" s="23" t="s">
        <v>4929</v>
      </c>
      <c r="U523" s="3">
        <v>34</v>
      </c>
      <c r="V523" s="3" t="s">
        <v>6065</v>
      </c>
      <c r="W523" s="45" t="str">
        <f>HYPERLINK("http://ictvonline.org/taxonomy/p/taxonomy-history?taxnode_id=201856371","ICTVonline=201856371")</f>
        <v>ICTVonline=201856371</v>
      </c>
      <c r="AA523" s="1">
        <v>201850000</v>
      </c>
      <c r="AB523" s="1">
        <v>34</v>
      </c>
    </row>
    <row r="524" spans="1:28" x14ac:dyDescent="0.15">
      <c r="A524" s="1">
        <v>1293</v>
      </c>
      <c r="B524" s="1" t="s">
        <v>7159</v>
      </c>
      <c r="F524" s="1" t="s">
        <v>5617</v>
      </c>
      <c r="G524" s="1" t="s">
        <v>5708</v>
      </c>
      <c r="H524" s="1" t="s">
        <v>5709</v>
      </c>
      <c r="J524" s="1" t="s">
        <v>4108</v>
      </c>
      <c r="L524" s="1" t="s">
        <v>4114</v>
      </c>
      <c r="N524" s="1" t="s">
        <v>1975</v>
      </c>
      <c r="P524" s="1" t="s">
        <v>6100</v>
      </c>
      <c r="Q524" s="3">
        <v>0</v>
      </c>
      <c r="S524" s="23" t="s">
        <v>5949</v>
      </c>
      <c r="T524" s="23" t="s">
        <v>4929</v>
      </c>
      <c r="U524" s="3">
        <v>34</v>
      </c>
      <c r="V524" s="3" t="s">
        <v>6065</v>
      </c>
      <c r="W524" s="45" t="str">
        <f>HYPERLINK("http://ictvonline.org/taxonomy/p/taxonomy-history?taxnode_id=201856387","ICTVonline=201856387")</f>
        <v>ICTVonline=201856387</v>
      </c>
      <c r="AA524" s="1">
        <v>201850000</v>
      </c>
      <c r="AB524" s="1">
        <v>34</v>
      </c>
    </row>
    <row r="525" spans="1:28" x14ac:dyDescent="0.15">
      <c r="A525" s="1">
        <v>1295</v>
      </c>
      <c r="B525" s="1" t="s">
        <v>7159</v>
      </c>
      <c r="F525" s="1" t="s">
        <v>5617</v>
      </c>
      <c r="G525" s="1" t="s">
        <v>5708</v>
      </c>
      <c r="H525" s="1" t="s">
        <v>5709</v>
      </c>
      <c r="J525" s="1" t="s">
        <v>4108</v>
      </c>
      <c r="L525" s="1" t="s">
        <v>4114</v>
      </c>
      <c r="N525" s="1" t="s">
        <v>1975</v>
      </c>
      <c r="P525" s="1" t="s">
        <v>3732</v>
      </c>
      <c r="Q525" s="3">
        <v>0</v>
      </c>
      <c r="S525" s="23" t="s">
        <v>5949</v>
      </c>
      <c r="T525" s="23" t="s">
        <v>4931</v>
      </c>
      <c r="U525" s="3">
        <v>34</v>
      </c>
      <c r="W525" s="45" t="str">
        <f>HYPERLINK("http://ictvonline.org/taxonomy/p/taxonomy-history?taxnode_id=201850130","ICTVonline=201850130")</f>
        <v>ICTVonline=201850130</v>
      </c>
      <c r="AA525" s="1">
        <v>201850000</v>
      </c>
      <c r="AB525" s="1">
        <v>34</v>
      </c>
    </row>
    <row r="526" spans="1:28" x14ac:dyDescent="0.15">
      <c r="A526" s="1">
        <v>1297</v>
      </c>
      <c r="B526" s="1" t="s">
        <v>7159</v>
      </c>
      <c r="F526" s="1" t="s">
        <v>5617</v>
      </c>
      <c r="G526" s="1" t="s">
        <v>5708</v>
      </c>
      <c r="H526" s="1" t="s">
        <v>5709</v>
      </c>
      <c r="J526" s="1" t="s">
        <v>4108</v>
      </c>
      <c r="L526" s="1" t="s">
        <v>4114</v>
      </c>
      <c r="N526" s="1" t="s">
        <v>1975</v>
      </c>
      <c r="P526" s="1" t="s">
        <v>6101</v>
      </c>
      <c r="Q526" s="3">
        <v>0</v>
      </c>
      <c r="S526" s="23" t="s">
        <v>5949</v>
      </c>
      <c r="T526" s="23" t="s">
        <v>4929</v>
      </c>
      <c r="U526" s="3">
        <v>34</v>
      </c>
      <c r="V526" s="3" t="s">
        <v>6065</v>
      </c>
      <c r="W526" s="45" t="str">
        <f>HYPERLINK("http://ictvonline.org/taxonomy/p/taxonomy-history?taxnode_id=201856372","ICTVonline=201856372")</f>
        <v>ICTVonline=201856372</v>
      </c>
      <c r="AA526" s="1">
        <v>201850000</v>
      </c>
      <c r="AB526" s="1">
        <v>34</v>
      </c>
    </row>
    <row r="527" spans="1:28" x14ac:dyDescent="0.15">
      <c r="A527" s="1">
        <v>1299</v>
      </c>
      <c r="B527" s="1" t="s">
        <v>7159</v>
      </c>
      <c r="F527" s="1" t="s">
        <v>5617</v>
      </c>
      <c r="G527" s="1" t="s">
        <v>5708</v>
      </c>
      <c r="H527" s="1" t="s">
        <v>5709</v>
      </c>
      <c r="J527" s="1" t="s">
        <v>4108</v>
      </c>
      <c r="L527" s="1" t="s">
        <v>4114</v>
      </c>
      <c r="N527" s="1" t="s">
        <v>1975</v>
      </c>
      <c r="P527" s="1" t="s">
        <v>6102</v>
      </c>
      <c r="Q527" s="3">
        <v>0</v>
      </c>
      <c r="S527" s="23" t="s">
        <v>5949</v>
      </c>
      <c r="T527" s="23" t="s">
        <v>4929</v>
      </c>
      <c r="U527" s="3">
        <v>34</v>
      </c>
      <c r="V527" s="3" t="s">
        <v>6062</v>
      </c>
      <c r="W527" s="45" t="str">
        <f>HYPERLINK("http://ictvonline.org/taxonomy/p/taxonomy-history?taxnode_id=201856598","ICTVonline=201856598")</f>
        <v>ICTVonline=201856598</v>
      </c>
      <c r="AA527" s="1">
        <v>201850000</v>
      </c>
      <c r="AB527" s="1">
        <v>34</v>
      </c>
    </row>
    <row r="528" spans="1:28" x14ac:dyDescent="0.15">
      <c r="A528" s="1">
        <v>1301</v>
      </c>
      <c r="B528" s="1" t="s">
        <v>7159</v>
      </c>
      <c r="F528" s="1" t="s">
        <v>5617</v>
      </c>
      <c r="G528" s="1" t="s">
        <v>5708</v>
      </c>
      <c r="H528" s="1" t="s">
        <v>5709</v>
      </c>
      <c r="J528" s="1" t="s">
        <v>4108</v>
      </c>
      <c r="L528" s="1" t="s">
        <v>4114</v>
      </c>
      <c r="N528" s="1" t="s">
        <v>1975</v>
      </c>
      <c r="P528" s="1" t="s">
        <v>6103</v>
      </c>
      <c r="Q528" s="3">
        <v>0</v>
      </c>
      <c r="S528" s="23" t="s">
        <v>5949</v>
      </c>
      <c r="T528" s="23" t="s">
        <v>4929</v>
      </c>
      <c r="U528" s="3">
        <v>34</v>
      </c>
      <c r="V528" s="3" t="s">
        <v>6065</v>
      </c>
      <c r="W528" s="45" t="str">
        <f>HYPERLINK("http://ictvonline.org/taxonomy/p/taxonomy-history?taxnode_id=201856363","ICTVonline=201856363")</f>
        <v>ICTVonline=201856363</v>
      </c>
      <c r="AA528" s="1">
        <v>201850000</v>
      </c>
      <c r="AB528" s="1">
        <v>34</v>
      </c>
    </row>
    <row r="529" spans="1:28" x14ac:dyDescent="0.15">
      <c r="A529" s="1">
        <v>1303</v>
      </c>
      <c r="B529" s="1" t="s">
        <v>7159</v>
      </c>
      <c r="F529" s="1" t="s">
        <v>5617</v>
      </c>
      <c r="G529" s="1" t="s">
        <v>5708</v>
      </c>
      <c r="H529" s="1" t="s">
        <v>5709</v>
      </c>
      <c r="J529" s="1" t="s">
        <v>4108</v>
      </c>
      <c r="L529" s="1" t="s">
        <v>4114</v>
      </c>
      <c r="N529" s="1" t="s">
        <v>1975</v>
      </c>
      <c r="P529" s="1" t="s">
        <v>3733</v>
      </c>
      <c r="Q529" s="3">
        <v>0</v>
      </c>
      <c r="S529" s="23" t="s">
        <v>5949</v>
      </c>
      <c r="T529" s="23" t="s">
        <v>4931</v>
      </c>
      <c r="U529" s="3">
        <v>34</v>
      </c>
      <c r="W529" s="45" t="str">
        <f>HYPERLINK("http://ictvonline.org/taxonomy/p/taxonomy-history?taxnode_id=201850131","ICTVonline=201850131")</f>
        <v>ICTVonline=201850131</v>
      </c>
      <c r="AA529" s="1">
        <v>201850000</v>
      </c>
      <c r="AB529" s="1">
        <v>34</v>
      </c>
    </row>
    <row r="530" spans="1:28" x14ac:dyDescent="0.15">
      <c r="A530" s="1">
        <v>1305</v>
      </c>
      <c r="B530" s="1" t="s">
        <v>7159</v>
      </c>
      <c r="F530" s="1" t="s">
        <v>5617</v>
      </c>
      <c r="G530" s="1" t="s">
        <v>5708</v>
      </c>
      <c r="H530" s="1" t="s">
        <v>5709</v>
      </c>
      <c r="J530" s="1" t="s">
        <v>4108</v>
      </c>
      <c r="L530" s="1" t="s">
        <v>4114</v>
      </c>
      <c r="N530" s="1" t="s">
        <v>1975</v>
      </c>
      <c r="P530" s="1" t="s">
        <v>3734</v>
      </c>
      <c r="Q530" s="3">
        <v>0</v>
      </c>
      <c r="S530" s="23" t="s">
        <v>5949</v>
      </c>
      <c r="T530" s="23" t="s">
        <v>4931</v>
      </c>
      <c r="U530" s="3">
        <v>34</v>
      </c>
      <c r="W530" s="45" t="str">
        <f>HYPERLINK("http://ictvonline.org/taxonomy/p/taxonomy-history?taxnode_id=201850132","ICTVonline=201850132")</f>
        <v>ICTVonline=201850132</v>
      </c>
      <c r="AA530" s="1">
        <v>201850000</v>
      </c>
      <c r="AB530" s="1">
        <v>34</v>
      </c>
    </row>
    <row r="531" spans="1:28" x14ac:dyDescent="0.15">
      <c r="A531" s="1">
        <v>1307</v>
      </c>
      <c r="B531" s="1" t="s">
        <v>7159</v>
      </c>
      <c r="F531" s="1" t="s">
        <v>5617</v>
      </c>
      <c r="G531" s="1" t="s">
        <v>5708</v>
      </c>
      <c r="H531" s="1" t="s">
        <v>5709</v>
      </c>
      <c r="J531" s="1" t="s">
        <v>4108</v>
      </c>
      <c r="L531" s="1" t="s">
        <v>4114</v>
      </c>
      <c r="N531" s="1" t="s">
        <v>1975</v>
      </c>
      <c r="P531" s="1" t="s">
        <v>3735</v>
      </c>
      <c r="Q531" s="3">
        <v>0</v>
      </c>
      <c r="S531" s="23" t="s">
        <v>5949</v>
      </c>
      <c r="T531" s="23" t="s">
        <v>4931</v>
      </c>
      <c r="U531" s="3">
        <v>34</v>
      </c>
      <c r="W531" s="45" t="str">
        <f>HYPERLINK("http://ictvonline.org/taxonomy/p/taxonomy-history?taxnode_id=201850133","ICTVonline=201850133")</f>
        <v>ICTVonline=201850133</v>
      </c>
      <c r="AA531" s="1">
        <v>201850000</v>
      </c>
      <c r="AB531" s="1">
        <v>34</v>
      </c>
    </row>
    <row r="532" spans="1:28" x14ac:dyDescent="0.15">
      <c r="A532" s="1">
        <v>1309</v>
      </c>
      <c r="B532" s="1" t="s">
        <v>7159</v>
      </c>
      <c r="F532" s="1" t="s">
        <v>5617</v>
      </c>
      <c r="G532" s="1" t="s">
        <v>5708</v>
      </c>
      <c r="H532" s="1" t="s">
        <v>5709</v>
      </c>
      <c r="J532" s="1" t="s">
        <v>4108</v>
      </c>
      <c r="L532" s="1" t="s">
        <v>4114</v>
      </c>
      <c r="N532" s="1" t="s">
        <v>1975</v>
      </c>
      <c r="P532" s="1" t="s">
        <v>6104</v>
      </c>
      <c r="Q532" s="3">
        <v>0</v>
      </c>
      <c r="S532" s="23" t="s">
        <v>5949</v>
      </c>
      <c r="T532" s="23" t="s">
        <v>4929</v>
      </c>
      <c r="U532" s="3">
        <v>34</v>
      </c>
      <c r="V532" s="3" t="s">
        <v>6065</v>
      </c>
      <c r="W532" s="45" t="str">
        <f>HYPERLINK("http://ictvonline.org/taxonomy/p/taxonomy-history?taxnode_id=201856373","ICTVonline=201856373")</f>
        <v>ICTVonline=201856373</v>
      </c>
      <c r="AA532" s="1">
        <v>201850000</v>
      </c>
      <c r="AB532" s="1">
        <v>34</v>
      </c>
    </row>
    <row r="533" spans="1:28" x14ac:dyDescent="0.15">
      <c r="A533" s="1">
        <v>1311</v>
      </c>
      <c r="B533" s="1" t="s">
        <v>7159</v>
      </c>
      <c r="F533" s="1" t="s">
        <v>5617</v>
      </c>
      <c r="G533" s="1" t="s">
        <v>5708</v>
      </c>
      <c r="H533" s="1" t="s">
        <v>5709</v>
      </c>
      <c r="J533" s="1" t="s">
        <v>4108</v>
      </c>
      <c r="L533" s="1" t="s">
        <v>4114</v>
      </c>
      <c r="N533" s="1" t="s">
        <v>1975</v>
      </c>
      <c r="P533" s="1" t="s">
        <v>3736</v>
      </c>
      <c r="Q533" s="3">
        <v>0</v>
      </c>
      <c r="S533" s="23" t="s">
        <v>5949</v>
      </c>
      <c r="T533" s="23" t="s">
        <v>4931</v>
      </c>
      <c r="U533" s="3">
        <v>34</v>
      </c>
      <c r="W533" s="45" t="str">
        <f>HYPERLINK("http://ictvonline.org/taxonomy/p/taxonomy-history?taxnode_id=201850134","ICTVonline=201850134")</f>
        <v>ICTVonline=201850134</v>
      </c>
      <c r="AA533" s="1">
        <v>201850000</v>
      </c>
      <c r="AB533" s="1">
        <v>34</v>
      </c>
    </row>
    <row r="534" spans="1:28" x14ac:dyDescent="0.15">
      <c r="A534" s="1">
        <v>1313</v>
      </c>
      <c r="B534" s="1" t="s">
        <v>7159</v>
      </c>
      <c r="F534" s="1" t="s">
        <v>5617</v>
      </c>
      <c r="G534" s="1" t="s">
        <v>5708</v>
      </c>
      <c r="H534" s="1" t="s">
        <v>5709</v>
      </c>
      <c r="J534" s="1" t="s">
        <v>4108</v>
      </c>
      <c r="L534" s="1" t="s">
        <v>4114</v>
      </c>
      <c r="N534" s="1" t="s">
        <v>1975</v>
      </c>
      <c r="P534" s="1" t="s">
        <v>6105</v>
      </c>
      <c r="Q534" s="3">
        <v>0</v>
      </c>
      <c r="S534" s="23" t="s">
        <v>5949</v>
      </c>
      <c r="T534" s="23" t="s">
        <v>4929</v>
      </c>
      <c r="U534" s="3">
        <v>34</v>
      </c>
      <c r="V534" s="3" t="s">
        <v>6065</v>
      </c>
      <c r="W534" s="45" t="str">
        <f>HYPERLINK("http://ictvonline.org/taxonomy/p/taxonomy-history?taxnode_id=201856379","ICTVonline=201856379")</f>
        <v>ICTVonline=201856379</v>
      </c>
      <c r="AA534" s="1">
        <v>201850000</v>
      </c>
      <c r="AB534" s="1">
        <v>34</v>
      </c>
    </row>
    <row r="535" spans="1:28" x14ac:dyDescent="0.15">
      <c r="A535" s="1">
        <v>1315</v>
      </c>
      <c r="B535" s="1" t="s">
        <v>7159</v>
      </c>
      <c r="F535" s="1" t="s">
        <v>5617</v>
      </c>
      <c r="G535" s="1" t="s">
        <v>5708</v>
      </c>
      <c r="H535" s="1" t="s">
        <v>5709</v>
      </c>
      <c r="J535" s="1" t="s">
        <v>4108</v>
      </c>
      <c r="L535" s="1" t="s">
        <v>4114</v>
      </c>
      <c r="N535" s="1" t="s">
        <v>1975</v>
      </c>
      <c r="P535" s="1" t="s">
        <v>6106</v>
      </c>
      <c r="Q535" s="3">
        <v>0</v>
      </c>
      <c r="S535" s="23" t="s">
        <v>5949</v>
      </c>
      <c r="T535" s="23" t="s">
        <v>4929</v>
      </c>
      <c r="U535" s="3">
        <v>34</v>
      </c>
      <c r="V535" s="3" t="s">
        <v>6062</v>
      </c>
      <c r="W535" s="45" t="str">
        <f>HYPERLINK("http://ictvonline.org/taxonomy/p/taxonomy-history?taxnode_id=201856599","ICTVonline=201856599")</f>
        <v>ICTVonline=201856599</v>
      </c>
      <c r="AA535" s="1">
        <v>201850000</v>
      </c>
      <c r="AB535" s="1">
        <v>34</v>
      </c>
    </row>
    <row r="536" spans="1:28" x14ac:dyDescent="0.15">
      <c r="A536" s="1">
        <v>1317</v>
      </c>
      <c r="B536" s="1" t="s">
        <v>7159</v>
      </c>
      <c r="F536" s="1" t="s">
        <v>5617</v>
      </c>
      <c r="G536" s="1" t="s">
        <v>5708</v>
      </c>
      <c r="H536" s="1" t="s">
        <v>5709</v>
      </c>
      <c r="J536" s="1" t="s">
        <v>4108</v>
      </c>
      <c r="L536" s="1" t="s">
        <v>4114</v>
      </c>
      <c r="N536" s="1" t="s">
        <v>1975</v>
      </c>
      <c r="P536" s="1" t="s">
        <v>5001</v>
      </c>
      <c r="Q536" s="3">
        <v>0</v>
      </c>
      <c r="S536" s="23" t="s">
        <v>5949</v>
      </c>
      <c r="T536" s="23" t="s">
        <v>4931</v>
      </c>
      <c r="U536" s="3">
        <v>34</v>
      </c>
      <c r="W536" s="45" t="str">
        <f>HYPERLINK("http://ictvonline.org/taxonomy/p/taxonomy-history?taxnode_id=201855464","ICTVonline=201855464")</f>
        <v>ICTVonline=201855464</v>
      </c>
      <c r="AA536" s="1">
        <v>201850000</v>
      </c>
      <c r="AB536" s="1">
        <v>34</v>
      </c>
    </row>
    <row r="537" spans="1:28" x14ac:dyDescent="0.15">
      <c r="A537" s="1">
        <v>1319</v>
      </c>
      <c r="B537" s="1" t="s">
        <v>7159</v>
      </c>
      <c r="F537" s="1" t="s">
        <v>5617</v>
      </c>
      <c r="G537" s="1" t="s">
        <v>5708</v>
      </c>
      <c r="H537" s="1" t="s">
        <v>5709</v>
      </c>
      <c r="J537" s="1" t="s">
        <v>4108</v>
      </c>
      <c r="L537" s="1" t="s">
        <v>4114</v>
      </c>
      <c r="N537" s="1" t="s">
        <v>1975</v>
      </c>
      <c r="P537" s="1" t="s">
        <v>3737</v>
      </c>
      <c r="Q537" s="3">
        <v>0</v>
      </c>
      <c r="S537" s="23" t="s">
        <v>5949</v>
      </c>
      <c r="T537" s="23" t="s">
        <v>4931</v>
      </c>
      <c r="U537" s="3">
        <v>34</v>
      </c>
      <c r="W537" s="45" t="str">
        <f>HYPERLINK("http://ictvonline.org/taxonomy/p/taxonomy-history?taxnode_id=201850135","ICTVonline=201850135")</f>
        <v>ICTVonline=201850135</v>
      </c>
      <c r="AA537" s="1">
        <v>201850000</v>
      </c>
      <c r="AB537" s="1">
        <v>34</v>
      </c>
    </row>
    <row r="538" spans="1:28" x14ac:dyDescent="0.15">
      <c r="A538" s="1">
        <v>1321</v>
      </c>
      <c r="B538" s="1" t="s">
        <v>7159</v>
      </c>
      <c r="F538" s="1" t="s">
        <v>5617</v>
      </c>
      <c r="G538" s="1" t="s">
        <v>5708</v>
      </c>
      <c r="H538" s="1" t="s">
        <v>5709</v>
      </c>
      <c r="J538" s="1" t="s">
        <v>4108</v>
      </c>
      <c r="L538" s="1" t="s">
        <v>4114</v>
      </c>
      <c r="N538" s="1" t="s">
        <v>1975</v>
      </c>
      <c r="P538" s="1" t="s">
        <v>3738</v>
      </c>
      <c r="Q538" s="3">
        <v>0</v>
      </c>
      <c r="S538" s="23" t="s">
        <v>5949</v>
      </c>
      <c r="T538" s="23" t="s">
        <v>4931</v>
      </c>
      <c r="U538" s="3">
        <v>34</v>
      </c>
      <c r="W538" s="45" t="str">
        <f>HYPERLINK("http://ictvonline.org/taxonomy/p/taxonomy-history?taxnode_id=201850136","ICTVonline=201850136")</f>
        <v>ICTVonline=201850136</v>
      </c>
      <c r="AA538" s="1">
        <v>201850000</v>
      </c>
      <c r="AB538" s="1">
        <v>34</v>
      </c>
    </row>
    <row r="539" spans="1:28" x14ac:dyDescent="0.15">
      <c r="A539" s="1">
        <v>1325</v>
      </c>
      <c r="B539" s="1" t="s">
        <v>7159</v>
      </c>
      <c r="F539" s="1" t="s">
        <v>5617</v>
      </c>
      <c r="G539" s="1" t="s">
        <v>5708</v>
      </c>
      <c r="H539" s="1" t="s">
        <v>5709</v>
      </c>
      <c r="J539" s="1" t="s">
        <v>4108</v>
      </c>
      <c r="L539" s="1" t="s">
        <v>4114</v>
      </c>
      <c r="N539" s="1" t="s">
        <v>6107</v>
      </c>
      <c r="P539" s="1" t="s">
        <v>6108</v>
      </c>
      <c r="Q539" s="3">
        <v>1</v>
      </c>
      <c r="S539" s="23" t="s">
        <v>5949</v>
      </c>
      <c r="T539" s="23" t="s">
        <v>4929</v>
      </c>
      <c r="U539" s="3">
        <v>34</v>
      </c>
      <c r="V539" s="3" t="s">
        <v>6062</v>
      </c>
      <c r="W539" s="45" t="str">
        <f>HYPERLINK("http://ictvonline.org/taxonomy/p/taxonomy-history?taxnode_id=201856601","ICTVonline=201856601")</f>
        <v>ICTVonline=201856601</v>
      </c>
      <c r="AA539" s="1">
        <v>201850000</v>
      </c>
      <c r="AB539" s="1">
        <v>34</v>
      </c>
    </row>
    <row r="540" spans="1:28" x14ac:dyDescent="0.15">
      <c r="A540" s="1">
        <v>1327</v>
      </c>
      <c r="B540" s="1" t="s">
        <v>7159</v>
      </c>
      <c r="F540" s="1" t="s">
        <v>5617</v>
      </c>
      <c r="G540" s="1" t="s">
        <v>5708</v>
      </c>
      <c r="H540" s="1" t="s">
        <v>5709</v>
      </c>
      <c r="J540" s="1" t="s">
        <v>4108</v>
      </c>
      <c r="L540" s="1" t="s">
        <v>4114</v>
      </c>
      <c r="N540" s="1" t="s">
        <v>6107</v>
      </c>
      <c r="P540" s="1" t="s">
        <v>6109</v>
      </c>
      <c r="Q540" s="3">
        <v>0</v>
      </c>
      <c r="S540" s="23" t="s">
        <v>5949</v>
      </c>
      <c r="T540" s="23" t="s">
        <v>4929</v>
      </c>
      <c r="U540" s="3">
        <v>34</v>
      </c>
      <c r="V540" s="3" t="s">
        <v>6062</v>
      </c>
      <c r="W540" s="45" t="str">
        <f>HYPERLINK("http://ictvonline.org/taxonomy/p/taxonomy-history?taxnode_id=201856602","ICTVonline=201856602")</f>
        <v>ICTVonline=201856602</v>
      </c>
      <c r="AA540" s="1">
        <v>201850000</v>
      </c>
      <c r="AB540" s="1">
        <v>34</v>
      </c>
    </row>
    <row r="541" spans="1:28" x14ac:dyDescent="0.15">
      <c r="A541" s="1">
        <v>1329</v>
      </c>
      <c r="B541" s="1" t="s">
        <v>7159</v>
      </c>
      <c r="F541" s="1" t="s">
        <v>5617</v>
      </c>
      <c r="G541" s="1" t="s">
        <v>5708</v>
      </c>
      <c r="H541" s="1" t="s">
        <v>5709</v>
      </c>
      <c r="J541" s="1" t="s">
        <v>4108</v>
      </c>
      <c r="L541" s="1" t="s">
        <v>4114</v>
      </c>
      <c r="N541" s="1" t="s">
        <v>6107</v>
      </c>
      <c r="P541" s="1" t="s">
        <v>6110</v>
      </c>
      <c r="Q541" s="3">
        <v>0</v>
      </c>
      <c r="S541" s="23" t="s">
        <v>5949</v>
      </c>
      <c r="T541" s="23" t="s">
        <v>4929</v>
      </c>
      <c r="U541" s="3">
        <v>34</v>
      </c>
      <c r="V541" s="3" t="s">
        <v>6062</v>
      </c>
      <c r="W541" s="45" t="str">
        <f>HYPERLINK("http://ictvonline.org/taxonomy/p/taxonomy-history?taxnode_id=201856603","ICTVonline=201856603")</f>
        <v>ICTVonline=201856603</v>
      </c>
      <c r="AA541" s="1">
        <v>201850000</v>
      </c>
      <c r="AB541" s="1">
        <v>34</v>
      </c>
    </row>
    <row r="542" spans="1:28" x14ac:dyDescent="0.15">
      <c r="A542" s="1">
        <v>1333</v>
      </c>
      <c r="B542" s="1" t="s">
        <v>7159</v>
      </c>
      <c r="F542" s="1" t="s">
        <v>5617</v>
      </c>
      <c r="G542" s="1" t="s">
        <v>5708</v>
      </c>
      <c r="H542" s="1" t="s">
        <v>5709</v>
      </c>
      <c r="J542" s="1" t="s">
        <v>4108</v>
      </c>
      <c r="L542" s="1" t="s">
        <v>4114</v>
      </c>
      <c r="N542" s="1" t="s">
        <v>5729</v>
      </c>
      <c r="P542" s="1" t="s">
        <v>5730</v>
      </c>
      <c r="Q542" s="3">
        <v>1</v>
      </c>
      <c r="S542" s="23" t="s">
        <v>5949</v>
      </c>
      <c r="T542" s="23" t="s">
        <v>4931</v>
      </c>
      <c r="U542" s="3">
        <v>34</v>
      </c>
      <c r="W542" s="45" t="str">
        <f>HYPERLINK("http://ictvonline.org/taxonomy/p/taxonomy-history?taxnode_id=201850085","ICTVonline=201850085")</f>
        <v>ICTVonline=201850085</v>
      </c>
      <c r="AA542" s="1">
        <v>201850000</v>
      </c>
      <c r="AB542" s="1">
        <v>34</v>
      </c>
    </row>
    <row r="543" spans="1:28" x14ac:dyDescent="0.15">
      <c r="A543" s="1">
        <v>1339</v>
      </c>
      <c r="B543" s="1" t="s">
        <v>7159</v>
      </c>
      <c r="F543" s="1" t="s">
        <v>5617</v>
      </c>
      <c r="G543" s="1" t="s">
        <v>5708</v>
      </c>
      <c r="H543" s="1" t="s">
        <v>5709</v>
      </c>
      <c r="J543" s="1" t="s">
        <v>4108</v>
      </c>
      <c r="L543" s="1" t="s">
        <v>4172</v>
      </c>
      <c r="N543" s="1" t="s">
        <v>5742</v>
      </c>
      <c r="P543" s="1" t="s">
        <v>5743</v>
      </c>
      <c r="Q543" s="3">
        <v>1</v>
      </c>
      <c r="S543" s="23" t="s">
        <v>5949</v>
      </c>
      <c r="T543" s="23" t="s">
        <v>4931</v>
      </c>
      <c r="U543" s="3">
        <v>34</v>
      </c>
      <c r="W543" s="45" t="str">
        <f>HYPERLINK("http://ictvonline.org/taxonomy/p/taxonomy-history?taxnode_id=201850005","ICTVonline=201850005")</f>
        <v>ICTVonline=201850005</v>
      </c>
      <c r="AA543" s="1">
        <v>201850000</v>
      </c>
      <c r="AB543" s="1">
        <v>34</v>
      </c>
    </row>
    <row r="544" spans="1:28" x14ac:dyDescent="0.15">
      <c r="A544" s="1">
        <v>1343</v>
      </c>
      <c r="B544" s="1" t="s">
        <v>7159</v>
      </c>
      <c r="F544" s="1" t="s">
        <v>5617</v>
      </c>
      <c r="G544" s="1" t="s">
        <v>5708</v>
      </c>
      <c r="H544" s="1" t="s">
        <v>5709</v>
      </c>
      <c r="J544" s="1" t="s">
        <v>4108</v>
      </c>
      <c r="L544" s="1" t="s">
        <v>4172</v>
      </c>
      <c r="N544" s="1" t="s">
        <v>5744</v>
      </c>
      <c r="P544" s="1" t="s">
        <v>5745</v>
      </c>
      <c r="Q544" s="3">
        <v>1</v>
      </c>
      <c r="S544" s="23" t="s">
        <v>5949</v>
      </c>
      <c r="T544" s="23" t="s">
        <v>4931</v>
      </c>
      <c r="U544" s="3">
        <v>34</v>
      </c>
      <c r="W544" s="45" t="str">
        <f>HYPERLINK("http://ictvonline.org/taxonomy/p/taxonomy-history?taxnode_id=201850142","ICTVonline=201850142")</f>
        <v>ICTVonline=201850142</v>
      </c>
      <c r="AA544" s="1">
        <v>201850000</v>
      </c>
      <c r="AB544" s="1">
        <v>34</v>
      </c>
    </row>
    <row r="545" spans="1:28" x14ac:dyDescent="0.15">
      <c r="A545" s="1">
        <v>1347</v>
      </c>
      <c r="B545" s="1" t="s">
        <v>7159</v>
      </c>
      <c r="F545" s="1" t="s">
        <v>5617</v>
      </c>
      <c r="G545" s="1" t="s">
        <v>5708</v>
      </c>
      <c r="H545" s="1" t="s">
        <v>5709</v>
      </c>
      <c r="J545" s="1" t="s">
        <v>4108</v>
      </c>
      <c r="L545" s="1" t="s">
        <v>4172</v>
      </c>
      <c r="N545" s="1" t="s">
        <v>5746</v>
      </c>
      <c r="P545" s="1" t="s">
        <v>5747</v>
      </c>
      <c r="Q545" s="3">
        <v>1</v>
      </c>
      <c r="S545" s="23" t="s">
        <v>5949</v>
      </c>
      <c r="T545" s="23" t="s">
        <v>4931</v>
      </c>
      <c r="U545" s="3">
        <v>34</v>
      </c>
      <c r="W545" s="45" t="str">
        <f>HYPERLINK("http://ictvonline.org/taxonomy/p/taxonomy-history?taxnode_id=201850065","ICTVonline=201850065")</f>
        <v>ICTVonline=201850065</v>
      </c>
      <c r="AA545" s="1">
        <v>201850000</v>
      </c>
      <c r="AB545" s="1">
        <v>34</v>
      </c>
    </row>
    <row r="546" spans="1:28" x14ac:dyDescent="0.15">
      <c r="A546" s="1">
        <v>1351</v>
      </c>
      <c r="B546" s="1" t="s">
        <v>7159</v>
      </c>
      <c r="F546" s="1" t="s">
        <v>5617</v>
      </c>
      <c r="G546" s="1" t="s">
        <v>5708</v>
      </c>
      <c r="H546" s="1" t="s">
        <v>5709</v>
      </c>
      <c r="J546" s="1" t="s">
        <v>4108</v>
      </c>
      <c r="L546" s="1" t="s">
        <v>4172</v>
      </c>
      <c r="N546" s="1" t="s">
        <v>4173</v>
      </c>
      <c r="P546" s="1" t="s">
        <v>6111</v>
      </c>
      <c r="Q546" s="3">
        <v>0</v>
      </c>
      <c r="S546" s="23" t="s">
        <v>5949</v>
      </c>
      <c r="T546" s="23" t="s">
        <v>4929</v>
      </c>
      <c r="U546" s="3">
        <v>34</v>
      </c>
      <c r="V546" s="3" t="s">
        <v>6112</v>
      </c>
      <c r="W546" s="45" t="str">
        <f>HYPERLINK("http://ictvonline.org/taxonomy/p/taxonomy-history?taxnode_id=201856413","ICTVonline=201856413")</f>
        <v>ICTVonline=201856413</v>
      </c>
      <c r="AA546" s="1">
        <v>201850000</v>
      </c>
      <c r="AB546" s="1">
        <v>34</v>
      </c>
    </row>
    <row r="547" spans="1:28" x14ac:dyDescent="0.15">
      <c r="A547" s="1">
        <v>1353</v>
      </c>
      <c r="B547" s="1" t="s">
        <v>7159</v>
      </c>
      <c r="F547" s="1" t="s">
        <v>5617</v>
      </c>
      <c r="G547" s="1" t="s">
        <v>5708</v>
      </c>
      <c r="H547" s="1" t="s">
        <v>5709</v>
      </c>
      <c r="J547" s="1" t="s">
        <v>4108</v>
      </c>
      <c r="L547" s="1" t="s">
        <v>4172</v>
      </c>
      <c r="N547" s="1" t="s">
        <v>4173</v>
      </c>
      <c r="P547" s="1" t="s">
        <v>6113</v>
      </c>
      <c r="Q547" s="3">
        <v>0</v>
      </c>
      <c r="S547" s="23" t="s">
        <v>5949</v>
      </c>
      <c r="T547" s="23" t="s">
        <v>4929</v>
      </c>
      <c r="U547" s="3">
        <v>34</v>
      </c>
      <c r="V547" s="3" t="s">
        <v>6112</v>
      </c>
      <c r="W547" s="45" t="str">
        <f>HYPERLINK("http://ictvonline.org/taxonomy/p/taxonomy-history?taxnode_id=201856416","ICTVonline=201856416")</f>
        <v>ICTVonline=201856416</v>
      </c>
      <c r="AA547" s="1">
        <v>201850000</v>
      </c>
      <c r="AB547" s="1">
        <v>34</v>
      </c>
    </row>
    <row r="548" spans="1:28" x14ac:dyDescent="0.15">
      <c r="A548" s="1">
        <v>1355</v>
      </c>
      <c r="B548" s="1" t="s">
        <v>7159</v>
      </c>
      <c r="F548" s="1" t="s">
        <v>5617</v>
      </c>
      <c r="G548" s="1" t="s">
        <v>5708</v>
      </c>
      <c r="H548" s="1" t="s">
        <v>5709</v>
      </c>
      <c r="J548" s="1" t="s">
        <v>4108</v>
      </c>
      <c r="L548" s="1" t="s">
        <v>4172</v>
      </c>
      <c r="N548" s="1" t="s">
        <v>4173</v>
      </c>
      <c r="P548" s="1" t="s">
        <v>4174</v>
      </c>
      <c r="Q548" s="3">
        <v>1</v>
      </c>
      <c r="S548" s="23" t="s">
        <v>5949</v>
      </c>
      <c r="T548" s="23" t="s">
        <v>4931</v>
      </c>
      <c r="U548" s="3">
        <v>34</v>
      </c>
      <c r="W548" s="45" t="str">
        <f>HYPERLINK("http://ictvonline.org/taxonomy/p/taxonomy-history?taxnode_id=201850140","ICTVonline=201850140")</f>
        <v>ICTVonline=201850140</v>
      </c>
      <c r="AA548" s="1">
        <v>201850000</v>
      </c>
      <c r="AB548" s="1">
        <v>34</v>
      </c>
    </row>
    <row r="549" spans="1:28" x14ac:dyDescent="0.15">
      <c r="A549" s="1">
        <v>1357</v>
      </c>
      <c r="B549" s="1" t="s">
        <v>7159</v>
      </c>
      <c r="F549" s="1" t="s">
        <v>5617</v>
      </c>
      <c r="G549" s="1" t="s">
        <v>5708</v>
      </c>
      <c r="H549" s="1" t="s">
        <v>5709</v>
      </c>
      <c r="J549" s="1" t="s">
        <v>4108</v>
      </c>
      <c r="L549" s="1" t="s">
        <v>4172</v>
      </c>
      <c r="N549" s="1" t="s">
        <v>4173</v>
      </c>
      <c r="P549" s="1" t="s">
        <v>4175</v>
      </c>
      <c r="Q549" s="3">
        <v>0</v>
      </c>
      <c r="S549" s="23" t="s">
        <v>5949</v>
      </c>
      <c r="T549" s="23" t="s">
        <v>4931</v>
      </c>
      <c r="U549" s="3">
        <v>34</v>
      </c>
      <c r="W549" s="45" t="str">
        <f>HYPERLINK("http://ictvonline.org/taxonomy/p/taxonomy-history?taxnode_id=201850141","ICTVonline=201850141")</f>
        <v>ICTVonline=201850141</v>
      </c>
      <c r="AA549" s="1">
        <v>201850000</v>
      </c>
      <c r="AB549" s="1">
        <v>34</v>
      </c>
    </row>
    <row r="550" spans="1:28" x14ac:dyDescent="0.15">
      <c r="A550" s="1">
        <v>1359</v>
      </c>
      <c r="B550" s="1" t="s">
        <v>7159</v>
      </c>
      <c r="F550" s="1" t="s">
        <v>5617</v>
      </c>
      <c r="G550" s="1" t="s">
        <v>5708</v>
      </c>
      <c r="H550" s="1" t="s">
        <v>5709</v>
      </c>
      <c r="J550" s="1" t="s">
        <v>4108</v>
      </c>
      <c r="L550" s="1" t="s">
        <v>4172</v>
      </c>
      <c r="N550" s="1" t="s">
        <v>4173</v>
      </c>
      <c r="P550" s="1" t="s">
        <v>6114</v>
      </c>
      <c r="Q550" s="3">
        <v>0</v>
      </c>
      <c r="S550" s="23" t="s">
        <v>5949</v>
      </c>
      <c r="T550" s="23" t="s">
        <v>4929</v>
      </c>
      <c r="U550" s="3">
        <v>34</v>
      </c>
      <c r="V550" s="3" t="s">
        <v>6112</v>
      </c>
      <c r="W550" s="45" t="str">
        <f>HYPERLINK("http://ictvonline.org/taxonomy/p/taxonomy-history?taxnode_id=201856414","ICTVonline=201856414")</f>
        <v>ICTVonline=201856414</v>
      </c>
      <c r="AA550" s="1">
        <v>201850000</v>
      </c>
      <c r="AB550" s="1">
        <v>34</v>
      </c>
    </row>
    <row r="551" spans="1:28" x14ac:dyDescent="0.15">
      <c r="A551" s="1">
        <v>1361</v>
      </c>
      <c r="B551" s="1" t="s">
        <v>7159</v>
      </c>
      <c r="F551" s="1" t="s">
        <v>5617</v>
      </c>
      <c r="G551" s="1" t="s">
        <v>5708</v>
      </c>
      <c r="H551" s="1" t="s">
        <v>5709</v>
      </c>
      <c r="J551" s="1" t="s">
        <v>4108</v>
      </c>
      <c r="L551" s="1" t="s">
        <v>4172</v>
      </c>
      <c r="N551" s="1" t="s">
        <v>4173</v>
      </c>
      <c r="P551" s="1" t="s">
        <v>6115</v>
      </c>
      <c r="Q551" s="3">
        <v>0</v>
      </c>
      <c r="S551" s="23" t="s">
        <v>5949</v>
      </c>
      <c r="T551" s="23" t="s">
        <v>4929</v>
      </c>
      <c r="U551" s="3">
        <v>34</v>
      </c>
      <c r="V551" s="3" t="s">
        <v>6112</v>
      </c>
      <c r="W551" s="45" t="str">
        <f>HYPERLINK("http://ictvonline.org/taxonomy/p/taxonomy-history?taxnode_id=201856415","ICTVonline=201856415")</f>
        <v>ICTVonline=201856415</v>
      </c>
      <c r="AA551" s="1">
        <v>201850000</v>
      </c>
      <c r="AB551" s="1">
        <v>34</v>
      </c>
    </row>
    <row r="552" spans="1:28" x14ac:dyDescent="0.15">
      <c r="A552" s="1">
        <v>1363</v>
      </c>
      <c r="B552" s="1" t="s">
        <v>7159</v>
      </c>
      <c r="F552" s="1" t="s">
        <v>5617</v>
      </c>
      <c r="G552" s="1" t="s">
        <v>5708</v>
      </c>
      <c r="H552" s="1" t="s">
        <v>5709</v>
      </c>
      <c r="J552" s="1" t="s">
        <v>4108</v>
      </c>
      <c r="L552" s="1" t="s">
        <v>4172</v>
      </c>
      <c r="N552" s="1" t="s">
        <v>4173</v>
      </c>
      <c r="P552" s="1" t="s">
        <v>6116</v>
      </c>
      <c r="Q552" s="3">
        <v>0</v>
      </c>
      <c r="S552" s="23" t="s">
        <v>5949</v>
      </c>
      <c r="T552" s="23" t="s">
        <v>4929</v>
      </c>
      <c r="U552" s="3">
        <v>34</v>
      </c>
      <c r="V552" s="3" t="s">
        <v>6112</v>
      </c>
      <c r="W552" s="45" t="str">
        <f>HYPERLINK("http://ictvonline.org/taxonomy/p/taxonomy-history?taxnode_id=201856417","ICTVonline=201856417")</f>
        <v>ICTVonline=201856417</v>
      </c>
      <c r="AA552" s="1">
        <v>201850000</v>
      </c>
      <c r="AB552" s="1">
        <v>34</v>
      </c>
    </row>
    <row r="553" spans="1:28" x14ac:dyDescent="0.15">
      <c r="A553" s="1">
        <v>1365</v>
      </c>
      <c r="B553" s="1" t="s">
        <v>7159</v>
      </c>
      <c r="F553" s="1" t="s">
        <v>5617</v>
      </c>
      <c r="G553" s="1" t="s">
        <v>5708</v>
      </c>
      <c r="H553" s="1" t="s">
        <v>5709</v>
      </c>
      <c r="J553" s="1" t="s">
        <v>4108</v>
      </c>
      <c r="L553" s="1" t="s">
        <v>4172</v>
      </c>
      <c r="N553" s="1" t="s">
        <v>4173</v>
      </c>
      <c r="P553" s="1" t="s">
        <v>4176</v>
      </c>
      <c r="Q553" s="3">
        <v>0</v>
      </c>
      <c r="S553" s="23" t="s">
        <v>5949</v>
      </c>
      <c r="T553" s="23" t="s">
        <v>4931</v>
      </c>
      <c r="U553" s="3">
        <v>34</v>
      </c>
      <c r="W553" s="45" t="str">
        <f>HYPERLINK("http://ictvonline.org/taxonomy/p/taxonomy-history?taxnode_id=201850143","ICTVonline=201850143")</f>
        <v>ICTVonline=201850143</v>
      </c>
      <c r="AA553" s="1">
        <v>201850000</v>
      </c>
      <c r="AB553" s="1">
        <v>34</v>
      </c>
    </row>
    <row r="554" spans="1:28" x14ac:dyDescent="0.15">
      <c r="A554" s="1">
        <v>1367</v>
      </c>
      <c r="B554" s="1" t="s">
        <v>7159</v>
      </c>
      <c r="F554" s="1" t="s">
        <v>5617</v>
      </c>
      <c r="G554" s="1" t="s">
        <v>5708</v>
      </c>
      <c r="H554" s="1" t="s">
        <v>5709</v>
      </c>
      <c r="J554" s="1" t="s">
        <v>4108</v>
      </c>
      <c r="L554" s="1" t="s">
        <v>4172</v>
      </c>
      <c r="N554" s="1" t="s">
        <v>4173</v>
      </c>
      <c r="P554" s="1" t="s">
        <v>4177</v>
      </c>
      <c r="Q554" s="3">
        <v>0</v>
      </c>
      <c r="S554" s="23" t="s">
        <v>5949</v>
      </c>
      <c r="T554" s="23" t="s">
        <v>4931</v>
      </c>
      <c r="U554" s="3">
        <v>34</v>
      </c>
      <c r="W554" s="45" t="str">
        <f>HYPERLINK("http://ictvonline.org/taxonomy/p/taxonomy-history?taxnode_id=201850144","ICTVonline=201850144")</f>
        <v>ICTVonline=201850144</v>
      </c>
      <c r="AA554" s="1">
        <v>201850000</v>
      </c>
      <c r="AB554" s="1">
        <v>34</v>
      </c>
    </row>
    <row r="555" spans="1:28" x14ac:dyDescent="0.15">
      <c r="A555" s="1">
        <v>1369</v>
      </c>
      <c r="B555" s="1" t="s">
        <v>7159</v>
      </c>
      <c r="F555" s="1" t="s">
        <v>5617</v>
      </c>
      <c r="G555" s="1" t="s">
        <v>5708</v>
      </c>
      <c r="H555" s="1" t="s">
        <v>5709</v>
      </c>
      <c r="J555" s="1" t="s">
        <v>4108</v>
      </c>
      <c r="L555" s="1" t="s">
        <v>4172</v>
      </c>
      <c r="N555" s="1" t="s">
        <v>4173</v>
      </c>
      <c r="P555" s="1" t="s">
        <v>4178</v>
      </c>
      <c r="Q555" s="3">
        <v>0</v>
      </c>
      <c r="S555" s="23" t="s">
        <v>5949</v>
      </c>
      <c r="T555" s="23" t="s">
        <v>4931</v>
      </c>
      <c r="U555" s="3">
        <v>34</v>
      </c>
      <c r="W555" s="45" t="str">
        <f>HYPERLINK("http://ictvonline.org/taxonomy/p/taxonomy-history?taxnode_id=201850145","ICTVonline=201850145")</f>
        <v>ICTVonline=201850145</v>
      </c>
      <c r="AA555" s="1">
        <v>201850000</v>
      </c>
      <c r="AB555" s="1">
        <v>34</v>
      </c>
    </row>
    <row r="556" spans="1:28" x14ac:dyDescent="0.15">
      <c r="A556" s="1">
        <v>1373</v>
      </c>
      <c r="B556" s="1" t="s">
        <v>7159</v>
      </c>
      <c r="F556" s="1" t="s">
        <v>5617</v>
      </c>
      <c r="G556" s="1" t="s">
        <v>5708</v>
      </c>
      <c r="H556" s="1" t="s">
        <v>5709</v>
      </c>
      <c r="J556" s="1" t="s">
        <v>4108</v>
      </c>
      <c r="L556" s="1" t="s">
        <v>4172</v>
      </c>
      <c r="N556" s="1" t="s">
        <v>6117</v>
      </c>
      <c r="P556" s="1" t="s">
        <v>6118</v>
      </c>
      <c r="Q556" s="3">
        <v>1</v>
      </c>
      <c r="S556" s="23" t="s">
        <v>5949</v>
      </c>
      <c r="T556" s="23" t="s">
        <v>4929</v>
      </c>
      <c r="U556" s="3">
        <v>34</v>
      </c>
      <c r="V556" s="3" t="s">
        <v>6062</v>
      </c>
      <c r="W556" s="45" t="str">
        <f>HYPERLINK("http://ictvonline.org/taxonomy/p/taxonomy-history?taxnode_id=201856606","ICTVonline=201856606")</f>
        <v>ICTVonline=201856606</v>
      </c>
      <c r="AA556" s="1">
        <v>201850000</v>
      </c>
      <c r="AB556" s="1">
        <v>34</v>
      </c>
    </row>
    <row r="557" spans="1:28" x14ac:dyDescent="0.15">
      <c r="A557" s="1">
        <v>1377</v>
      </c>
      <c r="B557" s="1" t="s">
        <v>7159</v>
      </c>
      <c r="F557" s="1" t="s">
        <v>5617</v>
      </c>
      <c r="G557" s="1" t="s">
        <v>5708</v>
      </c>
      <c r="H557" s="1" t="s">
        <v>5709</v>
      </c>
      <c r="J557" s="1" t="s">
        <v>4108</v>
      </c>
      <c r="L557" s="1" t="s">
        <v>4172</v>
      </c>
      <c r="N557" s="1" t="s">
        <v>5748</v>
      </c>
      <c r="P557" s="1" t="s">
        <v>5749</v>
      </c>
      <c r="Q557" s="3">
        <v>1</v>
      </c>
      <c r="S557" s="23" t="s">
        <v>5949</v>
      </c>
      <c r="T557" s="23" t="s">
        <v>4931</v>
      </c>
      <c r="U557" s="3">
        <v>34</v>
      </c>
      <c r="W557" s="45" t="str">
        <f>HYPERLINK("http://ictvonline.org/taxonomy/p/taxonomy-history?taxnode_id=201856223","ICTVonline=201856223")</f>
        <v>ICTVonline=201856223</v>
      </c>
      <c r="AA557" s="1">
        <v>201850000</v>
      </c>
      <c r="AB557" s="1">
        <v>34</v>
      </c>
    </row>
    <row r="558" spans="1:28" x14ac:dyDescent="0.15">
      <c r="A558" s="1">
        <v>1383</v>
      </c>
      <c r="B558" s="1" t="s">
        <v>7159</v>
      </c>
      <c r="F558" s="1" t="s">
        <v>5617</v>
      </c>
      <c r="G558" s="1" t="s">
        <v>5708</v>
      </c>
      <c r="H558" s="1" t="s">
        <v>5709</v>
      </c>
      <c r="J558" s="1" t="s">
        <v>4108</v>
      </c>
      <c r="L558" s="1" t="s">
        <v>4115</v>
      </c>
      <c r="N558" s="1" t="s">
        <v>5750</v>
      </c>
      <c r="P558" s="1" t="s">
        <v>6119</v>
      </c>
      <c r="Q558" s="3">
        <v>0</v>
      </c>
      <c r="S558" s="23" t="s">
        <v>5949</v>
      </c>
      <c r="T558" s="23" t="s">
        <v>4929</v>
      </c>
      <c r="U558" s="3">
        <v>34</v>
      </c>
      <c r="V558" s="3" t="s">
        <v>6120</v>
      </c>
      <c r="W558" s="45" t="str">
        <f>HYPERLINK("http://ictvonline.org/taxonomy/p/taxonomy-history?taxnode_id=201856486","ICTVonline=201856486")</f>
        <v>ICTVonline=201856486</v>
      </c>
      <c r="AA558" s="1">
        <v>201850000</v>
      </c>
      <c r="AB558" s="1">
        <v>34</v>
      </c>
    </row>
    <row r="559" spans="1:28" x14ac:dyDescent="0.15">
      <c r="A559" s="1">
        <v>1385</v>
      </c>
      <c r="B559" s="1" t="s">
        <v>7159</v>
      </c>
      <c r="F559" s="1" t="s">
        <v>5617</v>
      </c>
      <c r="G559" s="1" t="s">
        <v>5708</v>
      </c>
      <c r="H559" s="1" t="s">
        <v>5709</v>
      </c>
      <c r="J559" s="1" t="s">
        <v>4108</v>
      </c>
      <c r="L559" s="1" t="s">
        <v>4115</v>
      </c>
      <c r="N559" s="1" t="s">
        <v>5750</v>
      </c>
      <c r="P559" s="1" t="s">
        <v>6121</v>
      </c>
      <c r="Q559" s="3">
        <v>0</v>
      </c>
      <c r="S559" s="23" t="s">
        <v>5949</v>
      </c>
      <c r="T559" s="23" t="s">
        <v>4929</v>
      </c>
      <c r="U559" s="3">
        <v>34</v>
      </c>
      <c r="V559" s="3" t="s">
        <v>6062</v>
      </c>
      <c r="W559" s="45" t="str">
        <f>HYPERLINK("http://ictvonline.org/taxonomy/p/taxonomy-history?taxnode_id=201856607","ICTVonline=201856607")</f>
        <v>ICTVonline=201856607</v>
      </c>
      <c r="AA559" s="1">
        <v>201850000</v>
      </c>
      <c r="AB559" s="1">
        <v>34</v>
      </c>
    </row>
    <row r="560" spans="1:28" x14ac:dyDescent="0.15">
      <c r="A560" s="1">
        <v>1387</v>
      </c>
      <c r="B560" s="1" t="s">
        <v>7159</v>
      </c>
      <c r="F560" s="1" t="s">
        <v>5617</v>
      </c>
      <c r="G560" s="1" t="s">
        <v>5708</v>
      </c>
      <c r="H560" s="1" t="s">
        <v>5709</v>
      </c>
      <c r="J560" s="1" t="s">
        <v>4108</v>
      </c>
      <c r="L560" s="1" t="s">
        <v>4115</v>
      </c>
      <c r="N560" s="1" t="s">
        <v>5750</v>
      </c>
      <c r="P560" s="1" t="s">
        <v>5751</v>
      </c>
      <c r="Q560" s="3">
        <v>1</v>
      </c>
      <c r="S560" s="23" t="s">
        <v>5949</v>
      </c>
      <c r="T560" s="23" t="s">
        <v>4931</v>
      </c>
      <c r="U560" s="3">
        <v>34</v>
      </c>
      <c r="W560" s="45" t="str">
        <f>HYPERLINK("http://ictvonline.org/taxonomy/p/taxonomy-history?taxnode_id=201850166","ICTVonline=201850166")</f>
        <v>ICTVonline=201850166</v>
      </c>
      <c r="AA560" s="1">
        <v>201850000</v>
      </c>
      <c r="AB560" s="1">
        <v>34</v>
      </c>
    </row>
    <row r="561" spans="1:28" x14ac:dyDescent="0.15">
      <c r="A561" s="1">
        <v>1391</v>
      </c>
      <c r="B561" s="1" t="s">
        <v>7159</v>
      </c>
      <c r="F561" s="1" t="s">
        <v>5617</v>
      </c>
      <c r="G561" s="1" t="s">
        <v>5708</v>
      </c>
      <c r="H561" s="1" t="s">
        <v>5709</v>
      </c>
      <c r="J561" s="1" t="s">
        <v>4108</v>
      </c>
      <c r="L561" s="1" t="s">
        <v>4115</v>
      </c>
      <c r="N561" s="1" t="s">
        <v>5752</v>
      </c>
      <c r="P561" s="1" t="s">
        <v>5753</v>
      </c>
      <c r="Q561" s="3">
        <v>1</v>
      </c>
      <c r="S561" s="23" t="s">
        <v>5949</v>
      </c>
      <c r="T561" s="23" t="s">
        <v>4931</v>
      </c>
      <c r="U561" s="3">
        <v>34</v>
      </c>
      <c r="W561" s="45" t="str">
        <f>HYPERLINK("http://ictvonline.org/taxonomy/p/taxonomy-history?taxnode_id=201856226","ICTVonline=201856226")</f>
        <v>ICTVonline=201856226</v>
      </c>
      <c r="AA561" s="1">
        <v>201850000</v>
      </c>
      <c r="AB561" s="1">
        <v>34</v>
      </c>
    </row>
    <row r="562" spans="1:28" x14ac:dyDescent="0.15">
      <c r="A562" s="1">
        <v>1395</v>
      </c>
      <c r="B562" s="1" t="s">
        <v>7159</v>
      </c>
      <c r="F562" s="1" t="s">
        <v>5617</v>
      </c>
      <c r="G562" s="1" t="s">
        <v>5708</v>
      </c>
      <c r="H562" s="1" t="s">
        <v>5709</v>
      </c>
      <c r="J562" s="1" t="s">
        <v>4108</v>
      </c>
      <c r="L562" s="1" t="s">
        <v>4115</v>
      </c>
      <c r="N562" s="1" t="s">
        <v>4179</v>
      </c>
      <c r="P562" s="1" t="s">
        <v>4180</v>
      </c>
      <c r="Q562" s="3">
        <v>0</v>
      </c>
      <c r="S562" s="23" t="s">
        <v>5949</v>
      </c>
      <c r="T562" s="23" t="s">
        <v>4931</v>
      </c>
      <c r="U562" s="3">
        <v>34</v>
      </c>
      <c r="W562" s="45" t="str">
        <f>HYPERLINK("http://ictvonline.org/taxonomy/p/taxonomy-history?taxnode_id=201850149","ICTVonline=201850149")</f>
        <v>ICTVonline=201850149</v>
      </c>
      <c r="AA562" s="1">
        <v>201850000</v>
      </c>
      <c r="AB562" s="1">
        <v>34</v>
      </c>
    </row>
    <row r="563" spans="1:28" x14ac:dyDescent="0.15">
      <c r="A563" s="1">
        <v>1397</v>
      </c>
      <c r="B563" s="1" t="s">
        <v>7159</v>
      </c>
      <c r="F563" s="1" t="s">
        <v>5617</v>
      </c>
      <c r="G563" s="1" t="s">
        <v>5708</v>
      </c>
      <c r="H563" s="1" t="s">
        <v>5709</v>
      </c>
      <c r="J563" s="1" t="s">
        <v>4108</v>
      </c>
      <c r="L563" s="1" t="s">
        <v>4115</v>
      </c>
      <c r="N563" s="1" t="s">
        <v>4179</v>
      </c>
      <c r="P563" s="1" t="s">
        <v>4181</v>
      </c>
      <c r="Q563" s="3">
        <v>1</v>
      </c>
      <c r="S563" s="23" t="s">
        <v>5949</v>
      </c>
      <c r="T563" s="23" t="s">
        <v>4931</v>
      </c>
      <c r="U563" s="3">
        <v>34</v>
      </c>
      <c r="W563" s="45" t="str">
        <f>HYPERLINK("http://ictvonline.org/taxonomy/p/taxonomy-history?taxnode_id=201850150","ICTVonline=201850150")</f>
        <v>ICTVonline=201850150</v>
      </c>
      <c r="AA563" s="1">
        <v>201850000</v>
      </c>
      <c r="AB563" s="1">
        <v>34</v>
      </c>
    </row>
    <row r="564" spans="1:28" x14ac:dyDescent="0.15">
      <c r="A564" s="1">
        <v>1399</v>
      </c>
      <c r="B564" s="1" t="s">
        <v>7159</v>
      </c>
      <c r="F564" s="1" t="s">
        <v>5617</v>
      </c>
      <c r="G564" s="1" t="s">
        <v>5708</v>
      </c>
      <c r="H564" s="1" t="s">
        <v>5709</v>
      </c>
      <c r="J564" s="1" t="s">
        <v>4108</v>
      </c>
      <c r="L564" s="1" t="s">
        <v>4115</v>
      </c>
      <c r="N564" s="1" t="s">
        <v>4179</v>
      </c>
      <c r="P564" s="1" t="s">
        <v>4182</v>
      </c>
      <c r="Q564" s="3">
        <v>0</v>
      </c>
      <c r="S564" s="23" t="s">
        <v>5949</v>
      </c>
      <c r="T564" s="23" t="s">
        <v>4931</v>
      </c>
      <c r="U564" s="3">
        <v>34</v>
      </c>
      <c r="W564" s="45" t="str">
        <f>HYPERLINK("http://ictvonline.org/taxonomy/p/taxonomy-history?taxnode_id=201850151","ICTVonline=201850151")</f>
        <v>ICTVonline=201850151</v>
      </c>
      <c r="AA564" s="1">
        <v>201850000</v>
      </c>
      <c r="AB564" s="1">
        <v>34</v>
      </c>
    </row>
    <row r="565" spans="1:28" x14ac:dyDescent="0.15">
      <c r="A565" s="1">
        <v>1403</v>
      </c>
      <c r="B565" s="1" t="s">
        <v>7159</v>
      </c>
      <c r="F565" s="1" t="s">
        <v>5617</v>
      </c>
      <c r="G565" s="1" t="s">
        <v>5708</v>
      </c>
      <c r="H565" s="1" t="s">
        <v>5709</v>
      </c>
      <c r="J565" s="1" t="s">
        <v>4108</v>
      </c>
      <c r="L565" s="1" t="s">
        <v>4115</v>
      </c>
      <c r="N565" s="1" t="s">
        <v>5754</v>
      </c>
      <c r="P565" s="1" t="s">
        <v>5755</v>
      </c>
      <c r="Q565" s="3">
        <v>1</v>
      </c>
      <c r="S565" s="23" t="s">
        <v>5949</v>
      </c>
      <c r="T565" s="23" t="s">
        <v>4931</v>
      </c>
      <c r="U565" s="3">
        <v>34</v>
      </c>
      <c r="W565" s="45" t="str">
        <f>HYPERLINK("http://ictvonline.org/taxonomy/p/taxonomy-history?taxnode_id=201856228","ICTVonline=201856228")</f>
        <v>ICTVonline=201856228</v>
      </c>
      <c r="AA565" s="1">
        <v>201850000</v>
      </c>
      <c r="AB565" s="1">
        <v>34</v>
      </c>
    </row>
    <row r="566" spans="1:28" x14ac:dyDescent="0.15">
      <c r="A566" s="1">
        <v>1407</v>
      </c>
      <c r="B566" s="1" t="s">
        <v>7159</v>
      </c>
      <c r="F566" s="1" t="s">
        <v>5617</v>
      </c>
      <c r="G566" s="1" t="s">
        <v>5708</v>
      </c>
      <c r="H566" s="1" t="s">
        <v>5709</v>
      </c>
      <c r="J566" s="1" t="s">
        <v>4108</v>
      </c>
      <c r="L566" s="1" t="s">
        <v>4115</v>
      </c>
      <c r="N566" s="1" t="s">
        <v>5756</v>
      </c>
      <c r="P566" s="1" t="s">
        <v>5757</v>
      </c>
      <c r="Q566" s="3">
        <v>1</v>
      </c>
      <c r="S566" s="23" t="s">
        <v>5949</v>
      </c>
      <c r="T566" s="23" t="s">
        <v>4931</v>
      </c>
      <c r="U566" s="3">
        <v>34</v>
      </c>
      <c r="W566" s="45" t="str">
        <f>HYPERLINK("http://ictvonline.org/taxonomy/p/taxonomy-history?taxnode_id=201856230","ICTVonline=201856230")</f>
        <v>ICTVonline=201856230</v>
      </c>
      <c r="AA566" s="1">
        <v>201850000</v>
      </c>
      <c r="AB566" s="1">
        <v>34</v>
      </c>
    </row>
    <row r="567" spans="1:28" x14ac:dyDescent="0.15">
      <c r="A567" s="1">
        <v>1411</v>
      </c>
      <c r="B567" s="1" t="s">
        <v>7159</v>
      </c>
      <c r="F567" s="1" t="s">
        <v>5617</v>
      </c>
      <c r="G567" s="1" t="s">
        <v>5708</v>
      </c>
      <c r="H567" s="1" t="s">
        <v>5709</v>
      </c>
      <c r="J567" s="1" t="s">
        <v>4108</v>
      </c>
      <c r="L567" s="1" t="s">
        <v>4115</v>
      </c>
      <c r="N567" s="1" t="s">
        <v>5758</v>
      </c>
      <c r="P567" s="1" t="s">
        <v>5759</v>
      </c>
      <c r="Q567" s="3">
        <v>1</v>
      </c>
      <c r="S567" s="23" t="s">
        <v>5949</v>
      </c>
      <c r="T567" s="23" t="s">
        <v>4931</v>
      </c>
      <c r="U567" s="3">
        <v>34</v>
      </c>
      <c r="W567" s="45" t="str">
        <f>HYPERLINK("http://ictvonline.org/taxonomy/p/taxonomy-history?taxnode_id=201856232","ICTVonline=201856232")</f>
        <v>ICTVonline=201856232</v>
      </c>
      <c r="AA567" s="1">
        <v>201850000</v>
      </c>
      <c r="AB567" s="1">
        <v>34</v>
      </c>
    </row>
    <row r="568" spans="1:28" x14ac:dyDescent="0.15">
      <c r="A568" s="1">
        <v>1415</v>
      </c>
      <c r="B568" s="1" t="s">
        <v>7159</v>
      </c>
      <c r="F568" s="1" t="s">
        <v>5617</v>
      </c>
      <c r="G568" s="1" t="s">
        <v>5708</v>
      </c>
      <c r="H568" s="1" t="s">
        <v>5709</v>
      </c>
      <c r="J568" s="1" t="s">
        <v>4108</v>
      </c>
      <c r="L568" s="1" t="s">
        <v>4115</v>
      </c>
      <c r="N568" s="1" t="s">
        <v>6122</v>
      </c>
      <c r="P568" s="1" t="s">
        <v>6123</v>
      </c>
      <c r="Q568" s="3">
        <v>1</v>
      </c>
      <c r="S568" s="23" t="s">
        <v>5949</v>
      </c>
      <c r="T568" s="23" t="s">
        <v>4929</v>
      </c>
      <c r="U568" s="3">
        <v>34</v>
      </c>
      <c r="V568" s="3" t="s">
        <v>6062</v>
      </c>
      <c r="W568" s="45" t="str">
        <f>HYPERLINK("http://ictvonline.org/taxonomy/p/taxonomy-history?taxnode_id=201856613","ICTVonline=201856613")</f>
        <v>ICTVonline=201856613</v>
      </c>
      <c r="AA568" s="1">
        <v>201850000</v>
      </c>
      <c r="AB568" s="1">
        <v>34</v>
      </c>
    </row>
    <row r="569" spans="1:28" x14ac:dyDescent="0.15">
      <c r="A569" s="1">
        <v>1417</v>
      </c>
      <c r="B569" s="1" t="s">
        <v>7159</v>
      </c>
      <c r="F569" s="1" t="s">
        <v>5617</v>
      </c>
      <c r="G569" s="1" t="s">
        <v>5708</v>
      </c>
      <c r="H569" s="1" t="s">
        <v>5709</v>
      </c>
      <c r="J569" s="1" t="s">
        <v>4108</v>
      </c>
      <c r="L569" s="1" t="s">
        <v>4115</v>
      </c>
      <c r="N569" s="1" t="s">
        <v>6122</v>
      </c>
      <c r="P569" s="1" t="s">
        <v>6124</v>
      </c>
      <c r="Q569" s="3">
        <v>0</v>
      </c>
      <c r="S569" s="23" t="s">
        <v>5949</v>
      </c>
      <c r="T569" s="23" t="s">
        <v>4929</v>
      </c>
      <c r="U569" s="3">
        <v>34</v>
      </c>
      <c r="V569" s="3" t="s">
        <v>6062</v>
      </c>
      <c r="W569" s="45" t="str">
        <f>HYPERLINK("http://ictvonline.org/taxonomy/p/taxonomy-history?taxnode_id=201856614","ICTVonline=201856614")</f>
        <v>ICTVonline=201856614</v>
      </c>
      <c r="AA569" s="1">
        <v>201850000</v>
      </c>
      <c r="AB569" s="1">
        <v>34</v>
      </c>
    </row>
    <row r="570" spans="1:28" x14ac:dyDescent="0.15">
      <c r="A570" s="1">
        <v>1421</v>
      </c>
      <c r="B570" s="1" t="s">
        <v>7159</v>
      </c>
      <c r="F570" s="1" t="s">
        <v>5617</v>
      </c>
      <c r="G570" s="1" t="s">
        <v>5708</v>
      </c>
      <c r="H570" s="1" t="s">
        <v>5709</v>
      </c>
      <c r="J570" s="1" t="s">
        <v>4108</v>
      </c>
      <c r="L570" s="1" t="s">
        <v>4115</v>
      </c>
      <c r="N570" s="1" t="s">
        <v>6125</v>
      </c>
      <c r="P570" s="1" t="s">
        <v>6126</v>
      </c>
      <c r="Q570" s="3">
        <v>0</v>
      </c>
      <c r="S570" s="23" t="s">
        <v>5949</v>
      </c>
      <c r="T570" s="23" t="s">
        <v>4929</v>
      </c>
      <c r="U570" s="3">
        <v>34</v>
      </c>
      <c r="V570" s="3" t="s">
        <v>6062</v>
      </c>
      <c r="W570" s="45" t="str">
        <f>HYPERLINK("http://ictvonline.org/taxonomy/p/taxonomy-history?taxnode_id=201856609","ICTVonline=201856609")</f>
        <v>ICTVonline=201856609</v>
      </c>
      <c r="AA570" s="1">
        <v>201850000</v>
      </c>
      <c r="AB570" s="1">
        <v>34</v>
      </c>
    </row>
    <row r="571" spans="1:28" x14ac:dyDescent="0.15">
      <c r="A571" s="1">
        <v>1425</v>
      </c>
      <c r="B571" s="1" t="s">
        <v>7159</v>
      </c>
      <c r="F571" s="1" t="s">
        <v>5617</v>
      </c>
      <c r="G571" s="1" t="s">
        <v>5708</v>
      </c>
      <c r="H571" s="1" t="s">
        <v>5709</v>
      </c>
      <c r="J571" s="1" t="s">
        <v>4108</v>
      </c>
      <c r="L571" s="1" t="s">
        <v>4115</v>
      </c>
      <c r="N571" s="1" t="s">
        <v>5760</v>
      </c>
      <c r="P571" s="1" t="s">
        <v>5761</v>
      </c>
      <c r="Q571" s="3">
        <v>1</v>
      </c>
      <c r="S571" s="23" t="s">
        <v>5949</v>
      </c>
      <c r="T571" s="23" t="s">
        <v>4931</v>
      </c>
      <c r="U571" s="3">
        <v>34</v>
      </c>
      <c r="W571" s="45" t="str">
        <f>HYPERLINK("http://ictvonline.org/taxonomy/p/taxonomy-history?taxnode_id=201856234","ICTVonline=201856234")</f>
        <v>ICTVonline=201856234</v>
      </c>
      <c r="AA571" s="1">
        <v>201850000</v>
      </c>
      <c r="AB571" s="1">
        <v>34</v>
      </c>
    </row>
    <row r="572" spans="1:28" x14ac:dyDescent="0.15">
      <c r="A572" s="1">
        <v>1429</v>
      </c>
      <c r="B572" s="1" t="s">
        <v>7159</v>
      </c>
      <c r="F572" s="1" t="s">
        <v>5617</v>
      </c>
      <c r="G572" s="1" t="s">
        <v>5708</v>
      </c>
      <c r="H572" s="1" t="s">
        <v>5709</v>
      </c>
      <c r="J572" s="1" t="s">
        <v>4108</v>
      </c>
      <c r="L572" s="1" t="s">
        <v>4115</v>
      </c>
      <c r="N572" s="1" t="s">
        <v>4183</v>
      </c>
      <c r="P572" s="1" t="s">
        <v>4184</v>
      </c>
      <c r="Q572" s="3">
        <v>1</v>
      </c>
      <c r="S572" s="23" t="s">
        <v>5949</v>
      </c>
      <c r="T572" s="23" t="s">
        <v>4931</v>
      </c>
      <c r="U572" s="3">
        <v>34</v>
      </c>
      <c r="W572" s="45" t="str">
        <f>HYPERLINK("http://ictvonline.org/taxonomy/p/taxonomy-history?taxnode_id=201850153","ICTVonline=201850153")</f>
        <v>ICTVonline=201850153</v>
      </c>
      <c r="AA572" s="1">
        <v>201850000</v>
      </c>
      <c r="AB572" s="1">
        <v>34</v>
      </c>
    </row>
    <row r="573" spans="1:28" x14ac:dyDescent="0.15">
      <c r="A573" s="1">
        <v>1431</v>
      </c>
      <c r="B573" s="1" t="s">
        <v>7159</v>
      </c>
      <c r="F573" s="1" t="s">
        <v>5617</v>
      </c>
      <c r="G573" s="1" t="s">
        <v>5708</v>
      </c>
      <c r="H573" s="1" t="s">
        <v>5709</v>
      </c>
      <c r="J573" s="1" t="s">
        <v>4108</v>
      </c>
      <c r="L573" s="1" t="s">
        <v>4115</v>
      </c>
      <c r="N573" s="1" t="s">
        <v>4183</v>
      </c>
      <c r="P573" s="1" t="s">
        <v>4185</v>
      </c>
      <c r="Q573" s="3">
        <v>0</v>
      </c>
      <c r="S573" s="23" t="s">
        <v>5949</v>
      </c>
      <c r="T573" s="23" t="s">
        <v>4931</v>
      </c>
      <c r="U573" s="3">
        <v>34</v>
      </c>
      <c r="W573" s="45" t="str">
        <f>HYPERLINK("http://ictvonline.org/taxonomy/p/taxonomy-history?taxnode_id=201850154","ICTVonline=201850154")</f>
        <v>ICTVonline=201850154</v>
      </c>
      <c r="AA573" s="1">
        <v>201850000</v>
      </c>
      <c r="AB573" s="1">
        <v>34</v>
      </c>
    </row>
    <row r="574" spans="1:28" x14ac:dyDescent="0.15">
      <c r="A574" s="1">
        <v>1433</v>
      </c>
      <c r="B574" s="1" t="s">
        <v>7159</v>
      </c>
      <c r="F574" s="1" t="s">
        <v>5617</v>
      </c>
      <c r="G574" s="1" t="s">
        <v>5708</v>
      </c>
      <c r="H574" s="1" t="s">
        <v>5709</v>
      </c>
      <c r="J574" s="1" t="s">
        <v>4108</v>
      </c>
      <c r="L574" s="1" t="s">
        <v>4115</v>
      </c>
      <c r="N574" s="1" t="s">
        <v>4183</v>
      </c>
      <c r="P574" s="1" t="s">
        <v>4186</v>
      </c>
      <c r="Q574" s="3">
        <v>0</v>
      </c>
      <c r="S574" s="23" t="s">
        <v>5949</v>
      </c>
      <c r="T574" s="23" t="s">
        <v>4931</v>
      </c>
      <c r="U574" s="3">
        <v>34</v>
      </c>
      <c r="W574" s="45" t="str">
        <f>HYPERLINK("http://ictvonline.org/taxonomy/p/taxonomy-history?taxnode_id=201850156","ICTVonline=201850156")</f>
        <v>ICTVonline=201850156</v>
      </c>
      <c r="AA574" s="1">
        <v>201850000</v>
      </c>
      <c r="AB574" s="1">
        <v>34</v>
      </c>
    </row>
    <row r="575" spans="1:28" x14ac:dyDescent="0.15">
      <c r="A575" s="1">
        <v>1437</v>
      </c>
      <c r="B575" s="1" t="s">
        <v>7159</v>
      </c>
      <c r="F575" s="1" t="s">
        <v>5617</v>
      </c>
      <c r="G575" s="1" t="s">
        <v>5708</v>
      </c>
      <c r="H575" s="1" t="s">
        <v>5709</v>
      </c>
      <c r="J575" s="1" t="s">
        <v>4108</v>
      </c>
      <c r="L575" s="1" t="s">
        <v>4115</v>
      </c>
      <c r="N575" s="1" t="s">
        <v>702</v>
      </c>
      <c r="P575" s="1" t="s">
        <v>3739</v>
      </c>
      <c r="Q575" s="3">
        <v>0</v>
      </c>
      <c r="S575" s="23" t="s">
        <v>5949</v>
      </c>
      <c r="T575" s="23" t="s">
        <v>4931</v>
      </c>
      <c r="U575" s="3">
        <v>34</v>
      </c>
      <c r="W575" s="45" t="str">
        <f>HYPERLINK("http://ictvonline.org/taxonomy/p/taxonomy-history?taxnode_id=201850158","ICTVonline=201850158")</f>
        <v>ICTVonline=201850158</v>
      </c>
      <c r="AA575" s="1">
        <v>201850000</v>
      </c>
      <c r="AB575" s="1">
        <v>34</v>
      </c>
    </row>
    <row r="576" spans="1:28" x14ac:dyDescent="0.15">
      <c r="A576" s="1">
        <v>1439</v>
      </c>
      <c r="B576" s="1" t="s">
        <v>7159</v>
      </c>
      <c r="F576" s="1" t="s">
        <v>5617</v>
      </c>
      <c r="G576" s="1" t="s">
        <v>5708</v>
      </c>
      <c r="H576" s="1" t="s">
        <v>5709</v>
      </c>
      <c r="J576" s="1" t="s">
        <v>4108</v>
      </c>
      <c r="L576" s="1" t="s">
        <v>4115</v>
      </c>
      <c r="N576" s="1" t="s">
        <v>702</v>
      </c>
      <c r="P576" s="1" t="s">
        <v>3740</v>
      </c>
      <c r="Q576" s="3">
        <v>0</v>
      </c>
      <c r="S576" s="23" t="s">
        <v>5949</v>
      </c>
      <c r="T576" s="23" t="s">
        <v>4931</v>
      </c>
      <c r="U576" s="3">
        <v>34</v>
      </c>
      <c r="W576" s="45" t="str">
        <f>HYPERLINK("http://ictvonline.org/taxonomy/p/taxonomy-history?taxnode_id=201850159","ICTVonline=201850159")</f>
        <v>ICTVonline=201850159</v>
      </c>
      <c r="AA576" s="1">
        <v>201850000</v>
      </c>
      <c r="AB576" s="1">
        <v>34</v>
      </c>
    </row>
    <row r="577" spans="1:28" x14ac:dyDescent="0.15">
      <c r="A577" s="1">
        <v>1441</v>
      </c>
      <c r="B577" s="1" t="s">
        <v>7159</v>
      </c>
      <c r="F577" s="1" t="s">
        <v>5617</v>
      </c>
      <c r="G577" s="1" t="s">
        <v>5708</v>
      </c>
      <c r="H577" s="1" t="s">
        <v>5709</v>
      </c>
      <c r="J577" s="1" t="s">
        <v>4108</v>
      </c>
      <c r="L577" s="1" t="s">
        <v>4115</v>
      </c>
      <c r="N577" s="1" t="s">
        <v>702</v>
      </c>
      <c r="P577" s="1" t="s">
        <v>3741</v>
      </c>
      <c r="Q577" s="3">
        <v>0</v>
      </c>
      <c r="S577" s="23" t="s">
        <v>5949</v>
      </c>
      <c r="T577" s="23" t="s">
        <v>4931</v>
      </c>
      <c r="U577" s="3">
        <v>34</v>
      </c>
      <c r="W577" s="45" t="str">
        <f>HYPERLINK("http://ictvonline.org/taxonomy/p/taxonomy-history?taxnode_id=201850160","ICTVonline=201850160")</f>
        <v>ICTVonline=201850160</v>
      </c>
      <c r="AA577" s="1">
        <v>201850000</v>
      </c>
      <c r="AB577" s="1">
        <v>34</v>
      </c>
    </row>
    <row r="578" spans="1:28" x14ac:dyDescent="0.15">
      <c r="A578" s="1">
        <v>1443</v>
      </c>
      <c r="B578" s="1" t="s">
        <v>7159</v>
      </c>
      <c r="F578" s="1" t="s">
        <v>5617</v>
      </c>
      <c r="G578" s="1" t="s">
        <v>5708</v>
      </c>
      <c r="H578" s="1" t="s">
        <v>5709</v>
      </c>
      <c r="J578" s="1" t="s">
        <v>4108</v>
      </c>
      <c r="L578" s="1" t="s">
        <v>4115</v>
      </c>
      <c r="N578" s="1" t="s">
        <v>702</v>
      </c>
      <c r="P578" s="1" t="s">
        <v>3742</v>
      </c>
      <c r="Q578" s="3">
        <v>0</v>
      </c>
      <c r="S578" s="23" t="s">
        <v>5949</v>
      </c>
      <c r="T578" s="23" t="s">
        <v>4931</v>
      </c>
      <c r="U578" s="3">
        <v>34</v>
      </c>
      <c r="W578" s="45" t="str">
        <f>HYPERLINK("http://ictvonline.org/taxonomy/p/taxonomy-history?taxnode_id=201850161","ICTVonline=201850161")</f>
        <v>ICTVonline=201850161</v>
      </c>
      <c r="AA578" s="1">
        <v>201850000</v>
      </c>
      <c r="AB578" s="1">
        <v>34</v>
      </c>
    </row>
    <row r="579" spans="1:28" x14ac:dyDescent="0.15">
      <c r="A579" s="1">
        <v>1445</v>
      </c>
      <c r="B579" s="1" t="s">
        <v>7159</v>
      </c>
      <c r="F579" s="1" t="s">
        <v>5617</v>
      </c>
      <c r="G579" s="1" t="s">
        <v>5708</v>
      </c>
      <c r="H579" s="1" t="s">
        <v>5709</v>
      </c>
      <c r="J579" s="1" t="s">
        <v>4108</v>
      </c>
      <c r="L579" s="1" t="s">
        <v>4115</v>
      </c>
      <c r="N579" s="1" t="s">
        <v>702</v>
      </c>
      <c r="P579" s="1" t="s">
        <v>6127</v>
      </c>
      <c r="Q579" s="3">
        <v>0</v>
      </c>
      <c r="S579" s="23" t="s">
        <v>5949</v>
      </c>
      <c r="T579" s="23" t="s">
        <v>4929</v>
      </c>
      <c r="U579" s="3">
        <v>34</v>
      </c>
      <c r="V579" s="3" t="s">
        <v>6128</v>
      </c>
      <c r="W579" s="45" t="str">
        <f>HYPERLINK("http://ictvonline.org/taxonomy/p/taxonomy-history?taxnode_id=201856492","ICTVonline=201856492")</f>
        <v>ICTVonline=201856492</v>
      </c>
      <c r="AA579" s="1">
        <v>201850000</v>
      </c>
      <c r="AB579" s="1">
        <v>34</v>
      </c>
    </row>
    <row r="580" spans="1:28" x14ac:dyDescent="0.15">
      <c r="A580" s="1">
        <v>1447</v>
      </c>
      <c r="B580" s="1" t="s">
        <v>7159</v>
      </c>
      <c r="F580" s="1" t="s">
        <v>5617</v>
      </c>
      <c r="G580" s="1" t="s">
        <v>5708</v>
      </c>
      <c r="H580" s="1" t="s">
        <v>5709</v>
      </c>
      <c r="J580" s="1" t="s">
        <v>4108</v>
      </c>
      <c r="L580" s="1" t="s">
        <v>4115</v>
      </c>
      <c r="N580" s="1" t="s">
        <v>702</v>
      </c>
      <c r="P580" s="1" t="s">
        <v>3743</v>
      </c>
      <c r="Q580" s="3">
        <v>0</v>
      </c>
      <c r="S580" s="23" t="s">
        <v>5949</v>
      </c>
      <c r="T580" s="23" t="s">
        <v>4931</v>
      </c>
      <c r="U580" s="3">
        <v>34</v>
      </c>
      <c r="W580" s="45" t="str">
        <f>HYPERLINK("http://ictvonline.org/taxonomy/p/taxonomy-history?taxnode_id=201850162","ICTVonline=201850162")</f>
        <v>ICTVonline=201850162</v>
      </c>
      <c r="AA580" s="1">
        <v>201850000</v>
      </c>
      <c r="AB580" s="1">
        <v>34</v>
      </c>
    </row>
    <row r="581" spans="1:28" x14ac:dyDescent="0.15">
      <c r="A581" s="1">
        <v>1449</v>
      </c>
      <c r="B581" s="1" t="s">
        <v>7159</v>
      </c>
      <c r="F581" s="1" t="s">
        <v>5617</v>
      </c>
      <c r="G581" s="1" t="s">
        <v>5708</v>
      </c>
      <c r="H581" s="1" t="s">
        <v>5709</v>
      </c>
      <c r="J581" s="1" t="s">
        <v>4108</v>
      </c>
      <c r="L581" s="1" t="s">
        <v>4115</v>
      </c>
      <c r="N581" s="1" t="s">
        <v>702</v>
      </c>
      <c r="P581" s="1" t="s">
        <v>3744</v>
      </c>
      <c r="Q581" s="3">
        <v>1</v>
      </c>
      <c r="S581" s="23" t="s">
        <v>5949</v>
      </c>
      <c r="T581" s="23" t="s">
        <v>4931</v>
      </c>
      <c r="U581" s="3">
        <v>34</v>
      </c>
      <c r="W581" s="45" t="str">
        <f>HYPERLINK("http://ictvonline.org/taxonomy/p/taxonomy-history?taxnode_id=201850163","ICTVonline=201850163")</f>
        <v>ICTVonline=201850163</v>
      </c>
      <c r="AA581" s="1">
        <v>201850000</v>
      </c>
      <c r="AB581" s="1">
        <v>34</v>
      </c>
    </row>
    <row r="582" spans="1:28" x14ac:dyDescent="0.15">
      <c r="A582" s="1">
        <v>1451</v>
      </c>
      <c r="B582" s="1" t="s">
        <v>7159</v>
      </c>
      <c r="F582" s="1" t="s">
        <v>5617</v>
      </c>
      <c r="G582" s="1" t="s">
        <v>5708</v>
      </c>
      <c r="H582" s="1" t="s">
        <v>5709</v>
      </c>
      <c r="J582" s="1" t="s">
        <v>4108</v>
      </c>
      <c r="L582" s="1" t="s">
        <v>4115</v>
      </c>
      <c r="N582" s="1" t="s">
        <v>702</v>
      </c>
      <c r="P582" s="1" t="s">
        <v>3745</v>
      </c>
      <c r="Q582" s="3">
        <v>0</v>
      </c>
      <c r="S582" s="23" t="s">
        <v>5949</v>
      </c>
      <c r="T582" s="23" t="s">
        <v>4931</v>
      </c>
      <c r="U582" s="3">
        <v>34</v>
      </c>
      <c r="W582" s="45" t="str">
        <f>HYPERLINK("http://ictvonline.org/taxonomy/p/taxonomy-history?taxnode_id=201850164","ICTVonline=201850164")</f>
        <v>ICTVonline=201850164</v>
      </c>
      <c r="AA582" s="1">
        <v>201850000</v>
      </c>
      <c r="AB582" s="1">
        <v>34</v>
      </c>
    </row>
    <row r="583" spans="1:28" x14ac:dyDescent="0.15">
      <c r="A583" s="1">
        <v>1453</v>
      </c>
      <c r="B583" s="1" t="s">
        <v>7159</v>
      </c>
      <c r="F583" s="1" t="s">
        <v>5617</v>
      </c>
      <c r="G583" s="1" t="s">
        <v>5708</v>
      </c>
      <c r="H583" s="1" t="s">
        <v>5709</v>
      </c>
      <c r="J583" s="1" t="s">
        <v>4108</v>
      </c>
      <c r="L583" s="1" t="s">
        <v>4115</v>
      </c>
      <c r="N583" s="1" t="s">
        <v>702</v>
      </c>
      <c r="P583" s="1" t="s">
        <v>3746</v>
      </c>
      <c r="Q583" s="3">
        <v>0</v>
      </c>
      <c r="S583" s="23" t="s">
        <v>5949</v>
      </c>
      <c r="T583" s="23" t="s">
        <v>4931</v>
      </c>
      <c r="U583" s="3">
        <v>34</v>
      </c>
      <c r="W583" s="45" t="str">
        <f>HYPERLINK("http://ictvonline.org/taxonomy/p/taxonomy-history?taxnode_id=201850165","ICTVonline=201850165")</f>
        <v>ICTVonline=201850165</v>
      </c>
      <c r="AA583" s="1">
        <v>201850000</v>
      </c>
      <c r="AB583" s="1">
        <v>34</v>
      </c>
    </row>
    <row r="584" spans="1:28" x14ac:dyDescent="0.15">
      <c r="A584" s="1">
        <v>1455</v>
      </c>
      <c r="B584" s="1" t="s">
        <v>7159</v>
      </c>
      <c r="F584" s="1" t="s">
        <v>5617</v>
      </c>
      <c r="G584" s="1" t="s">
        <v>5708</v>
      </c>
      <c r="H584" s="1" t="s">
        <v>5709</v>
      </c>
      <c r="J584" s="1" t="s">
        <v>4108</v>
      </c>
      <c r="L584" s="1" t="s">
        <v>4115</v>
      </c>
      <c r="N584" s="1" t="s">
        <v>702</v>
      </c>
      <c r="P584" s="1" t="s">
        <v>3747</v>
      </c>
      <c r="Q584" s="3">
        <v>0</v>
      </c>
      <c r="S584" s="23" t="s">
        <v>5949</v>
      </c>
      <c r="T584" s="23" t="s">
        <v>4931</v>
      </c>
      <c r="U584" s="3">
        <v>34</v>
      </c>
      <c r="W584" s="45" t="str">
        <f>HYPERLINK("http://ictvonline.org/taxonomy/p/taxonomy-history?taxnode_id=201850167","ICTVonline=201850167")</f>
        <v>ICTVonline=201850167</v>
      </c>
      <c r="AA584" s="1">
        <v>201850000</v>
      </c>
      <c r="AB584" s="1">
        <v>34</v>
      </c>
    </row>
    <row r="585" spans="1:28" x14ac:dyDescent="0.15">
      <c r="A585" s="1">
        <v>1459</v>
      </c>
      <c r="B585" s="1" t="s">
        <v>7159</v>
      </c>
      <c r="F585" s="1" t="s">
        <v>5617</v>
      </c>
      <c r="G585" s="1" t="s">
        <v>5708</v>
      </c>
      <c r="H585" s="1" t="s">
        <v>5709</v>
      </c>
      <c r="J585" s="1" t="s">
        <v>4108</v>
      </c>
      <c r="L585" s="1" t="s">
        <v>4115</v>
      </c>
      <c r="N585" s="1" t="s">
        <v>5762</v>
      </c>
      <c r="P585" s="1" t="s">
        <v>5763</v>
      </c>
      <c r="Q585" s="3">
        <v>1</v>
      </c>
      <c r="S585" s="23" t="s">
        <v>5949</v>
      </c>
      <c r="T585" s="23" t="s">
        <v>4931</v>
      </c>
      <c r="U585" s="3">
        <v>34</v>
      </c>
      <c r="W585" s="45" t="str">
        <f>HYPERLINK("http://ictvonline.org/taxonomy/p/taxonomy-history?taxnode_id=201856236","ICTVonline=201856236")</f>
        <v>ICTVonline=201856236</v>
      </c>
      <c r="AA585" s="1">
        <v>201850000</v>
      </c>
      <c r="AB585" s="1">
        <v>34</v>
      </c>
    </row>
    <row r="586" spans="1:28" x14ac:dyDescent="0.15">
      <c r="A586" s="1">
        <v>1463</v>
      </c>
      <c r="B586" s="1" t="s">
        <v>7159</v>
      </c>
      <c r="F586" s="1" t="s">
        <v>5617</v>
      </c>
      <c r="G586" s="1" t="s">
        <v>5708</v>
      </c>
      <c r="H586" s="1" t="s">
        <v>5709</v>
      </c>
      <c r="J586" s="1" t="s">
        <v>4108</v>
      </c>
      <c r="L586" s="1" t="s">
        <v>4115</v>
      </c>
      <c r="N586" s="1" t="s">
        <v>1085</v>
      </c>
      <c r="P586" s="1" t="s">
        <v>4089</v>
      </c>
      <c r="Q586" s="3">
        <v>0</v>
      </c>
      <c r="S586" s="23" t="s">
        <v>5949</v>
      </c>
      <c r="T586" s="23" t="s">
        <v>4931</v>
      </c>
      <c r="U586" s="3">
        <v>34</v>
      </c>
      <c r="W586" s="45" t="str">
        <f>HYPERLINK("http://ictvonline.org/taxonomy/p/taxonomy-history?taxnode_id=201850169","ICTVonline=201850169")</f>
        <v>ICTVonline=201850169</v>
      </c>
      <c r="AA586" s="1">
        <v>201850000</v>
      </c>
      <c r="AB586" s="1">
        <v>34</v>
      </c>
    </row>
    <row r="587" spans="1:28" x14ac:dyDescent="0.15">
      <c r="A587" s="1">
        <v>1465</v>
      </c>
      <c r="B587" s="1" t="s">
        <v>7159</v>
      </c>
      <c r="F587" s="1" t="s">
        <v>5617</v>
      </c>
      <c r="G587" s="1" t="s">
        <v>5708</v>
      </c>
      <c r="H587" s="1" t="s">
        <v>5709</v>
      </c>
      <c r="J587" s="1" t="s">
        <v>4108</v>
      </c>
      <c r="L587" s="1" t="s">
        <v>4115</v>
      </c>
      <c r="N587" s="1" t="s">
        <v>1085</v>
      </c>
      <c r="P587" s="1" t="s">
        <v>4090</v>
      </c>
      <c r="Q587" s="3">
        <v>0</v>
      </c>
      <c r="S587" s="23" t="s">
        <v>5949</v>
      </c>
      <c r="T587" s="23" t="s">
        <v>4931</v>
      </c>
      <c r="U587" s="3">
        <v>34</v>
      </c>
      <c r="W587" s="45" t="str">
        <f>HYPERLINK("http://ictvonline.org/taxonomy/p/taxonomy-history?taxnode_id=201850170","ICTVonline=201850170")</f>
        <v>ICTVonline=201850170</v>
      </c>
      <c r="AA587" s="1">
        <v>201850000</v>
      </c>
      <c r="AB587" s="1">
        <v>34</v>
      </c>
    </row>
    <row r="588" spans="1:28" x14ac:dyDescent="0.15">
      <c r="A588" s="1">
        <v>1467</v>
      </c>
      <c r="B588" s="1" t="s">
        <v>7159</v>
      </c>
      <c r="F588" s="1" t="s">
        <v>5617</v>
      </c>
      <c r="G588" s="1" t="s">
        <v>5708</v>
      </c>
      <c r="H588" s="1" t="s">
        <v>5709</v>
      </c>
      <c r="J588" s="1" t="s">
        <v>4108</v>
      </c>
      <c r="L588" s="1" t="s">
        <v>4115</v>
      </c>
      <c r="N588" s="1" t="s">
        <v>1085</v>
      </c>
      <c r="P588" s="1" t="s">
        <v>4091</v>
      </c>
      <c r="Q588" s="3">
        <v>0</v>
      </c>
      <c r="S588" s="23" t="s">
        <v>5949</v>
      </c>
      <c r="T588" s="23" t="s">
        <v>4931</v>
      </c>
      <c r="U588" s="3">
        <v>34</v>
      </c>
      <c r="W588" s="45" t="str">
        <f>HYPERLINK("http://ictvonline.org/taxonomy/p/taxonomy-history?taxnode_id=201850171","ICTVonline=201850171")</f>
        <v>ICTVonline=201850171</v>
      </c>
      <c r="AA588" s="1">
        <v>201850000</v>
      </c>
      <c r="AB588" s="1">
        <v>34</v>
      </c>
    </row>
    <row r="589" spans="1:28" x14ac:dyDescent="0.15">
      <c r="A589" s="1">
        <v>1469</v>
      </c>
      <c r="B589" s="1" t="s">
        <v>7159</v>
      </c>
      <c r="F589" s="1" t="s">
        <v>5617</v>
      </c>
      <c r="G589" s="1" t="s">
        <v>5708</v>
      </c>
      <c r="H589" s="1" t="s">
        <v>5709</v>
      </c>
      <c r="J589" s="1" t="s">
        <v>4108</v>
      </c>
      <c r="L589" s="1" t="s">
        <v>4115</v>
      </c>
      <c r="N589" s="1" t="s">
        <v>1085</v>
      </c>
      <c r="P589" s="1" t="s">
        <v>4092</v>
      </c>
      <c r="Q589" s="3">
        <v>0</v>
      </c>
      <c r="S589" s="23" t="s">
        <v>5949</v>
      </c>
      <c r="T589" s="23" t="s">
        <v>4931</v>
      </c>
      <c r="U589" s="3">
        <v>34</v>
      </c>
      <c r="W589" s="45" t="str">
        <f>HYPERLINK("http://ictvonline.org/taxonomy/p/taxonomy-history?taxnode_id=201850172","ICTVonline=201850172")</f>
        <v>ICTVonline=201850172</v>
      </c>
      <c r="AA589" s="1">
        <v>201850000</v>
      </c>
      <c r="AB589" s="1">
        <v>34</v>
      </c>
    </row>
    <row r="590" spans="1:28" x14ac:dyDescent="0.15">
      <c r="A590" s="1">
        <v>1471</v>
      </c>
      <c r="B590" s="1" t="s">
        <v>7159</v>
      </c>
      <c r="F590" s="1" t="s">
        <v>5617</v>
      </c>
      <c r="G590" s="1" t="s">
        <v>5708</v>
      </c>
      <c r="H590" s="1" t="s">
        <v>5709</v>
      </c>
      <c r="J590" s="1" t="s">
        <v>4108</v>
      </c>
      <c r="L590" s="1" t="s">
        <v>4115</v>
      </c>
      <c r="N590" s="1" t="s">
        <v>1085</v>
      </c>
      <c r="P590" s="1" t="s">
        <v>4093</v>
      </c>
      <c r="Q590" s="3">
        <v>0</v>
      </c>
      <c r="S590" s="23" t="s">
        <v>5949</v>
      </c>
      <c r="T590" s="23" t="s">
        <v>4931</v>
      </c>
      <c r="U590" s="3">
        <v>34</v>
      </c>
      <c r="W590" s="45" t="str">
        <f>HYPERLINK("http://ictvonline.org/taxonomy/p/taxonomy-history?taxnode_id=201850173","ICTVonline=201850173")</f>
        <v>ICTVonline=201850173</v>
      </c>
      <c r="AA590" s="1">
        <v>201850000</v>
      </c>
      <c r="AB590" s="1">
        <v>34</v>
      </c>
    </row>
    <row r="591" spans="1:28" x14ac:dyDescent="0.15">
      <c r="A591" s="1">
        <v>1473</v>
      </c>
      <c r="B591" s="1" t="s">
        <v>7159</v>
      </c>
      <c r="F591" s="1" t="s">
        <v>5617</v>
      </c>
      <c r="G591" s="1" t="s">
        <v>5708</v>
      </c>
      <c r="H591" s="1" t="s">
        <v>5709</v>
      </c>
      <c r="J591" s="1" t="s">
        <v>4108</v>
      </c>
      <c r="L591" s="1" t="s">
        <v>4115</v>
      </c>
      <c r="N591" s="1" t="s">
        <v>1085</v>
      </c>
      <c r="P591" s="1" t="s">
        <v>4094</v>
      </c>
      <c r="Q591" s="3">
        <v>1</v>
      </c>
      <c r="S591" s="23" t="s">
        <v>5949</v>
      </c>
      <c r="T591" s="23" t="s">
        <v>4931</v>
      </c>
      <c r="U591" s="3">
        <v>34</v>
      </c>
      <c r="W591" s="45" t="str">
        <f>HYPERLINK("http://ictvonline.org/taxonomy/p/taxonomy-history?taxnode_id=201850174","ICTVonline=201850174")</f>
        <v>ICTVonline=201850174</v>
      </c>
      <c r="AA591" s="1">
        <v>201850000</v>
      </c>
      <c r="AB591" s="1">
        <v>34</v>
      </c>
    </row>
    <row r="592" spans="1:28" x14ac:dyDescent="0.15">
      <c r="A592" s="1">
        <v>1475</v>
      </c>
      <c r="B592" s="1" t="s">
        <v>7159</v>
      </c>
      <c r="F592" s="1" t="s">
        <v>5617</v>
      </c>
      <c r="G592" s="1" t="s">
        <v>5708</v>
      </c>
      <c r="H592" s="1" t="s">
        <v>5709</v>
      </c>
      <c r="J592" s="1" t="s">
        <v>4108</v>
      </c>
      <c r="L592" s="1" t="s">
        <v>4115</v>
      </c>
      <c r="N592" s="1" t="s">
        <v>1085</v>
      </c>
      <c r="P592" s="1" t="s">
        <v>4095</v>
      </c>
      <c r="Q592" s="3">
        <v>0</v>
      </c>
      <c r="S592" s="23" t="s">
        <v>5949</v>
      </c>
      <c r="T592" s="23" t="s">
        <v>4931</v>
      </c>
      <c r="U592" s="3">
        <v>34</v>
      </c>
      <c r="W592" s="45" t="str">
        <f>HYPERLINK("http://ictvonline.org/taxonomy/p/taxonomy-history?taxnode_id=201850175","ICTVonline=201850175")</f>
        <v>ICTVonline=201850175</v>
      </c>
      <c r="AA592" s="1">
        <v>201850000</v>
      </c>
      <c r="AB592" s="1">
        <v>34</v>
      </c>
    </row>
    <row r="593" spans="1:28" x14ac:dyDescent="0.15">
      <c r="A593" s="1">
        <v>1479</v>
      </c>
      <c r="B593" s="1" t="s">
        <v>7159</v>
      </c>
      <c r="F593" s="1" t="s">
        <v>5617</v>
      </c>
      <c r="G593" s="1" t="s">
        <v>5708</v>
      </c>
      <c r="H593" s="1" t="s">
        <v>5709</v>
      </c>
      <c r="J593" s="1" t="s">
        <v>4108</v>
      </c>
      <c r="L593" s="1" t="s">
        <v>4115</v>
      </c>
      <c r="N593" s="1" t="s">
        <v>6129</v>
      </c>
      <c r="P593" s="1" t="s">
        <v>6130</v>
      </c>
      <c r="Q593" s="3">
        <v>1</v>
      </c>
      <c r="S593" s="23" t="s">
        <v>5949</v>
      </c>
      <c r="T593" s="23" t="s">
        <v>4929</v>
      </c>
      <c r="U593" s="3">
        <v>34</v>
      </c>
      <c r="V593" s="3" t="s">
        <v>6062</v>
      </c>
      <c r="W593" s="45" t="str">
        <f>HYPERLINK("http://ictvonline.org/taxonomy/p/taxonomy-history?taxnode_id=201856611","ICTVonline=201856611")</f>
        <v>ICTVonline=201856611</v>
      </c>
      <c r="AA593" s="1">
        <v>201850000</v>
      </c>
      <c r="AB593" s="1">
        <v>34</v>
      </c>
    </row>
    <row r="594" spans="1:28" x14ac:dyDescent="0.15">
      <c r="A594" s="1">
        <v>1483</v>
      </c>
      <c r="B594" s="1" t="s">
        <v>7159</v>
      </c>
      <c r="F594" s="1" t="s">
        <v>5617</v>
      </c>
      <c r="G594" s="1" t="s">
        <v>5708</v>
      </c>
      <c r="H594" s="1" t="s">
        <v>5709</v>
      </c>
      <c r="J594" s="1" t="s">
        <v>4108</v>
      </c>
      <c r="L594" s="1" t="s">
        <v>4115</v>
      </c>
      <c r="N594" s="1" t="s">
        <v>5764</v>
      </c>
      <c r="P594" s="1" t="s">
        <v>5765</v>
      </c>
      <c r="Q594" s="3">
        <v>1</v>
      </c>
      <c r="S594" s="23" t="s">
        <v>5949</v>
      </c>
      <c r="T594" s="23" t="s">
        <v>4931</v>
      </c>
      <c r="U594" s="3">
        <v>34</v>
      </c>
      <c r="W594" s="45" t="str">
        <f>HYPERLINK("http://ictvonline.org/taxonomy/p/taxonomy-history?taxnode_id=201856238","ICTVonline=201856238")</f>
        <v>ICTVonline=201856238</v>
      </c>
      <c r="AA594" s="1">
        <v>201850000</v>
      </c>
      <c r="AB594" s="1">
        <v>34</v>
      </c>
    </row>
    <row r="595" spans="1:28" x14ac:dyDescent="0.15">
      <c r="A595" s="1">
        <v>1485</v>
      </c>
      <c r="B595" s="1" t="s">
        <v>7159</v>
      </c>
      <c r="F595" s="1" t="s">
        <v>5617</v>
      </c>
      <c r="G595" s="1" t="s">
        <v>5708</v>
      </c>
      <c r="H595" s="1" t="s">
        <v>5709</v>
      </c>
      <c r="J595" s="1" t="s">
        <v>4108</v>
      </c>
      <c r="L595" s="1" t="s">
        <v>4115</v>
      </c>
      <c r="N595" s="1" t="s">
        <v>5764</v>
      </c>
      <c r="P595" s="1" t="s">
        <v>5766</v>
      </c>
      <c r="Q595" s="3">
        <v>0</v>
      </c>
      <c r="S595" s="23" t="s">
        <v>5949</v>
      </c>
      <c r="T595" s="23" t="s">
        <v>4931</v>
      </c>
      <c r="U595" s="3">
        <v>34</v>
      </c>
      <c r="W595" s="45" t="str">
        <f>HYPERLINK("http://ictvonline.org/taxonomy/p/taxonomy-history?taxnode_id=201856239","ICTVonline=201856239")</f>
        <v>ICTVonline=201856239</v>
      </c>
      <c r="AA595" s="1">
        <v>201850000</v>
      </c>
      <c r="AB595" s="1">
        <v>34</v>
      </c>
    </row>
    <row r="596" spans="1:28" x14ac:dyDescent="0.15">
      <c r="A596" s="1">
        <v>1491</v>
      </c>
      <c r="B596" s="1" t="s">
        <v>7159</v>
      </c>
      <c r="F596" s="1" t="s">
        <v>5617</v>
      </c>
      <c r="G596" s="1" t="s">
        <v>5708</v>
      </c>
      <c r="H596" s="1" t="s">
        <v>5709</v>
      </c>
      <c r="J596" s="1" t="s">
        <v>4108</v>
      </c>
      <c r="L596" s="1" t="s">
        <v>6131</v>
      </c>
      <c r="N596" s="1" t="s">
        <v>6132</v>
      </c>
      <c r="P596" s="1" t="s">
        <v>6133</v>
      </c>
      <c r="Q596" s="3">
        <v>0</v>
      </c>
      <c r="S596" s="23" t="s">
        <v>5949</v>
      </c>
      <c r="T596" s="23" t="s">
        <v>4929</v>
      </c>
      <c r="U596" s="3">
        <v>34</v>
      </c>
      <c r="V596" s="3" t="s">
        <v>6134</v>
      </c>
      <c r="W596" s="45" t="str">
        <f>HYPERLINK("http://ictvonline.org/taxonomy/p/taxonomy-history?taxnode_id=201856661","ICTVonline=201856661")</f>
        <v>ICTVonline=201856661</v>
      </c>
      <c r="AA596" s="1">
        <v>201850000</v>
      </c>
      <c r="AB596" s="1">
        <v>34</v>
      </c>
    </row>
    <row r="597" spans="1:28" x14ac:dyDescent="0.15">
      <c r="A597" s="1">
        <v>1493</v>
      </c>
      <c r="B597" s="1" t="s">
        <v>7159</v>
      </c>
      <c r="F597" s="1" t="s">
        <v>5617</v>
      </c>
      <c r="G597" s="1" t="s">
        <v>5708</v>
      </c>
      <c r="H597" s="1" t="s">
        <v>5709</v>
      </c>
      <c r="J597" s="1" t="s">
        <v>4108</v>
      </c>
      <c r="L597" s="1" t="s">
        <v>6131</v>
      </c>
      <c r="N597" s="1" t="s">
        <v>6132</v>
      </c>
      <c r="P597" s="1" t="s">
        <v>6135</v>
      </c>
      <c r="Q597" s="3">
        <v>0</v>
      </c>
      <c r="S597" s="23" t="s">
        <v>5949</v>
      </c>
      <c r="T597" s="23" t="s">
        <v>4929</v>
      </c>
      <c r="U597" s="3">
        <v>34</v>
      </c>
      <c r="V597" s="3" t="s">
        <v>6134</v>
      </c>
      <c r="W597" s="45" t="str">
        <f>HYPERLINK("http://ictvonline.org/taxonomy/p/taxonomy-history?taxnode_id=201856662","ICTVonline=201856662")</f>
        <v>ICTVonline=201856662</v>
      </c>
      <c r="AA597" s="1">
        <v>201850000</v>
      </c>
      <c r="AB597" s="1">
        <v>34</v>
      </c>
    </row>
    <row r="598" spans="1:28" x14ac:dyDescent="0.15">
      <c r="A598" s="1">
        <v>1495</v>
      </c>
      <c r="B598" s="1" t="s">
        <v>7159</v>
      </c>
      <c r="F598" s="1" t="s">
        <v>5617</v>
      </c>
      <c r="G598" s="1" t="s">
        <v>5708</v>
      </c>
      <c r="H598" s="1" t="s">
        <v>5709</v>
      </c>
      <c r="J598" s="1" t="s">
        <v>4108</v>
      </c>
      <c r="L598" s="1" t="s">
        <v>6131</v>
      </c>
      <c r="N598" s="1" t="s">
        <v>6132</v>
      </c>
      <c r="P598" s="1" t="s">
        <v>6136</v>
      </c>
      <c r="Q598" s="3">
        <v>0</v>
      </c>
      <c r="S598" s="23" t="s">
        <v>5949</v>
      </c>
      <c r="T598" s="23" t="s">
        <v>4929</v>
      </c>
      <c r="U598" s="3">
        <v>34</v>
      </c>
      <c r="V598" s="3" t="s">
        <v>6134</v>
      </c>
      <c r="W598" s="45" t="str">
        <f>HYPERLINK("http://ictvonline.org/taxonomy/p/taxonomy-history?taxnode_id=201856663","ICTVonline=201856663")</f>
        <v>ICTVonline=201856663</v>
      </c>
      <c r="AA598" s="1">
        <v>201850000</v>
      </c>
      <c r="AB598" s="1">
        <v>34</v>
      </c>
    </row>
    <row r="599" spans="1:28" x14ac:dyDescent="0.15">
      <c r="A599" s="1">
        <v>1497</v>
      </c>
      <c r="B599" s="1" t="s">
        <v>7159</v>
      </c>
      <c r="F599" s="1" t="s">
        <v>5617</v>
      </c>
      <c r="G599" s="1" t="s">
        <v>5708</v>
      </c>
      <c r="H599" s="1" t="s">
        <v>5709</v>
      </c>
      <c r="J599" s="1" t="s">
        <v>4108</v>
      </c>
      <c r="L599" s="1" t="s">
        <v>6131</v>
      </c>
      <c r="N599" s="1" t="s">
        <v>6132</v>
      </c>
      <c r="P599" s="1" t="s">
        <v>6137</v>
      </c>
      <c r="Q599" s="3">
        <v>0</v>
      </c>
      <c r="S599" s="23" t="s">
        <v>5949</v>
      </c>
      <c r="T599" s="23" t="s">
        <v>4929</v>
      </c>
      <c r="U599" s="3">
        <v>34</v>
      </c>
      <c r="V599" s="3" t="s">
        <v>6134</v>
      </c>
      <c r="W599" s="45" t="str">
        <f>HYPERLINK("http://ictvonline.org/taxonomy/p/taxonomy-history?taxnode_id=201856664","ICTVonline=201856664")</f>
        <v>ICTVonline=201856664</v>
      </c>
      <c r="AA599" s="1">
        <v>201850000</v>
      </c>
      <c r="AB599" s="1">
        <v>34</v>
      </c>
    </row>
    <row r="600" spans="1:28" x14ac:dyDescent="0.15">
      <c r="A600" s="1">
        <v>1499</v>
      </c>
      <c r="B600" s="1" t="s">
        <v>7159</v>
      </c>
      <c r="F600" s="1" t="s">
        <v>5617</v>
      </c>
      <c r="G600" s="1" t="s">
        <v>5708</v>
      </c>
      <c r="H600" s="1" t="s">
        <v>5709</v>
      </c>
      <c r="J600" s="1" t="s">
        <v>4108</v>
      </c>
      <c r="L600" s="1" t="s">
        <v>6131</v>
      </c>
      <c r="N600" s="1" t="s">
        <v>6132</v>
      </c>
      <c r="P600" s="1" t="s">
        <v>5731</v>
      </c>
      <c r="Q600" s="3">
        <v>0</v>
      </c>
      <c r="S600" s="23" t="s">
        <v>5949</v>
      </c>
      <c r="T600" s="23" t="s">
        <v>4931</v>
      </c>
      <c r="U600" s="3">
        <v>34</v>
      </c>
      <c r="W600" s="45" t="str">
        <f>HYPERLINK("http://ictvonline.org/taxonomy/p/taxonomy-history?taxnode_id=201850179","ICTVonline=201850179")</f>
        <v>ICTVonline=201850179</v>
      </c>
      <c r="AA600" s="1">
        <v>201850000</v>
      </c>
      <c r="AB600" s="1">
        <v>34</v>
      </c>
    </row>
    <row r="601" spans="1:28" x14ac:dyDescent="0.15">
      <c r="A601" s="1">
        <v>1501</v>
      </c>
      <c r="B601" s="1" t="s">
        <v>7159</v>
      </c>
      <c r="F601" s="1" t="s">
        <v>5617</v>
      </c>
      <c r="G601" s="1" t="s">
        <v>5708</v>
      </c>
      <c r="H601" s="1" t="s">
        <v>5709</v>
      </c>
      <c r="J601" s="1" t="s">
        <v>4108</v>
      </c>
      <c r="L601" s="1" t="s">
        <v>6131</v>
      </c>
      <c r="N601" s="1" t="s">
        <v>6132</v>
      </c>
      <c r="P601" s="1" t="s">
        <v>5732</v>
      </c>
      <c r="Q601" s="3">
        <v>0</v>
      </c>
      <c r="S601" s="23" t="s">
        <v>5949</v>
      </c>
      <c r="T601" s="23" t="s">
        <v>4931</v>
      </c>
      <c r="U601" s="3">
        <v>34</v>
      </c>
      <c r="W601" s="45" t="str">
        <f>HYPERLINK("http://ictvonline.org/taxonomy/p/taxonomy-history?taxnode_id=201850180","ICTVonline=201850180")</f>
        <v>ICTVonline=201850180</v>
      </c>
      <c r="AA601" s="1">
        <v>201850000</v>
      </c>
      <c r="AB601" s="1">
        <v>34</v>
      </c>
    </row>
    <row r="602" spans="1:28" x14ac:dyDescent="0.15">
      <c r="A602" s="1">
        <v>1503</v>
      </c>
      <c r="B602" s="1" t="s">
        <v>7159</v>
      </c>
      <c r="F602" s="1" t="s">
        <v>5617</v>
      </c>
      <c r="G602" s="1" t="s">
        <v>5708</v>
      </c>
      <c r="H602" s="1" t="s">
        <v>5709</v>
      </c>
      <c r="J602" s="1" t="s">
        <v>4108</v>
      </c>
      <c r="L602" s="1" t="s">
        <v>6131</v>
      </c>
      <c r="N602" s="1" t="s">
        <v>6132</v>
      </c>
      <c r="P602" s="1" t="s">
        <v>5733</v>
      </c>
      <c r="Q602" s="3">
        <v>0</v>
      </c>
      <c r="S602" s="23" t="s">
        <v>5949</v>
      </c>
      <c r="T602" s="23" t="s">
        <v>4931</v>
      </c>
      <c r="U602" s="3">
        <v>34</v>
      </c>
      <c r="W602" s="45" t="str">
        <f>HYPERLINK("http://ictvonline.org/taxonomy/p/taxonomy-history?taxnode_id=201850181","ICTVonline=201850181")</f>
        <v>ICTVonline=201850181</v>
      </c>
      <c r="AA602" s="1">
        <v>201850000</v>
      </c>
      <c r="AB602" s="1">
        <v>34</v>
      </c>
    </row>
    <row r="603" spans="1:28" x14ac:dyDescent="0.15">
      <c r="A603" s="1">
        <v>1505</v>
      </c>
      <c r="B603" s="1" t="s">
        <v>7159</v>
      </c>
      <c r="F603" s="1" t="s">
        <v>5617</v>
      </c>
      <c r="G603" s="1" t="s">
        <v>5708</v>
      </c>
      <c r="H603" s="1" t="s">
        <v>5709</v>
      </c>
      <c r="J603" s="1" t="s">
        <v>4108</v>
      </c>
      <c r="L603" s="1" t="s">
        <v>6131</v>
      </c>
      <c r="N603" s="1" t="s">
        <v>6132</v>
      </c>
      <c r="P603" s="1" t="s">
        <v>5734</v>
      </c>
      <c r="Q603" s="3">
        <v>0</v>
      </c>
      <c r="S603" s="23" t="s">
        <v>5949</v>
      </c>
      <c r="T603" s="23" t="s">
        <v>4931</v>
      </c>
      <c r="U603" s="3">
        <v>34</v>
      </c>
      <c r="W603" s="45" t="str">
        <f>HYPERLINK("http://ictvonline.org/taxonomy/p/taxonomy-history?taxnode_id=201850182","ICTVonline=201850182")</f>
        <v>ICTVonline=201850182</v>
      </c>
      <c r="AA603" s="1">
        <v>201850000</v>
      </c>
      <c r="AB603" s="1">
        <v>34</v>
      </c>
    </row>
    <row r="604" spans="1:28" x14ac:dyDescent="0.15">
      <c r="A604" s="1">
        <v>1507</v>
      </c>
      <c r="B604" s="1" t="s">
        <v>7159</v>
      </c>
      <c r="F604" s="1" t="s">
        <v>5617</v>
      </c>
      <c r="G604" s="1" t="s">
        <v>5708</v>
      </c>
      <c r="H604" s="1" t="s">
        <v>5709</v>
      </c>
      <c r="J604" s="1" t="s">
        <v>4108</v>
      </c>
      <c r="L604" s="1" t="s">
        <v>6131</v>
      </c>
      <c r="N604" s="1" t="s">
        <v>6132</v>
      </c>
      <c r="P604" s="1" t="s">
        <v>5735</v>
      </c>
      <c r="Q604" s="3">
        <v>0</v>
      </c>
      <c r="S604" s="23" t="s">
        <v>5949</v>
      </c>
      <c r="T604" s="23" t="s">
        <v>4931</v>
      </c>
      <c r="U604" s="3">
        <v>34</v>
      </c>
      <c r="W604" s="45" t="str">
        <f>HYPERLINK("http://ictvonline.org/taxonomy/p/taxonomy-history?taxnode_id=201850183","ICTVonline=201850183")</f>
        <v>ICTVonline=201850183</v>
      </c>
      <c r="AA604" s="1">
        <v>201850000</v>
      </c>
      <c r="AB604" s="1">
        <v>34</v>
      </c>
    </row>
    <row r="605" spans="1:28" x14ac:dyDescent="0.15">
      <c r="A605" s="1">
        <v>1509</v>
      </c>
      <c r="B605" s="1" t="s">
        <v>7159</v>
      </c>
      <c r="F605" s="1" t="s">
        <v>5617</v>
      </c>
      <c r="G605" s="1" t="s">
        <v>5708</v>
      </c>
      <c r="H605" s="1" t="s">
        <v>5709</v>
      </c>
      <c r="J605" s="1" t="s">
        <v>4108</v>
      </c>
      <c r="L605" s="1" t="s">
        <v>6131</v>
      </c>
      <c r="N605" s="1" t="s">
        <v>6132</v>
      </c>
      <c r="P605" s="1" t="s">
        <v>6138</v>
      </c>
      <c r="Q605" s="3">
        <v>0</v>
      </c>
      <c r="S605" s="23" t="s">
        <v>5949</v>
      </c>
      <c r="T605" s="23" t="s">
        <v>4929</v>
      </c>
      <c r="U605" s="3">
        <v>34</v>
      </c>
      <c r="V605" s="3" t="s">
        <v>6134</v>
      </c>
      <c r="W605" s="45" t="str">
        <f>HYPERLINK("http://ictvonline.org/taxonomy/p/taxonomy-history?taxnode_id=201856665","ICTVonline=201856665")</f>
        <v>ICTVonline=201856665</v>
      </c>
      <c r="AA605" s="1">
        <v>201850000</v>
      </c>
      <c r="AB605" s="1">
        <v>34</v>
      </c>
    </row>
    <row r="606" spans="1:28" x14ac:dyDescent="0.15">
      <c r="A606" s="1">
        <v>1511</v>
      </c>
      <c r="B606" s="1" t="s">
        <v>7159</v>
      </c>
      <c r="F606" s="1" t="s">
        <v>5617</v>
      </c>
      <c r="G606" s="1" t="s">
        <v>5708</v>
      </c>
      <c r="H606" s="1" t="s">
        <v>5709</v>
      </c>
      <c r="J606" s="1" t="s">
        <v>4108</v>
      </c>
      <c r="L606" s="1" t="s">
        <v>6131</v>
      </c>
      <c r="N606" s="1" t="s">
        <v>6132</v>
      </c>
      <c r="P606" s="1" t="s">
        <v>6139</v>
      </c>
      <c r="Q606" s="3">
        <v>0</v>
      </c>
      <c r="S606" s="23" t="s">
        <v>5949</v>
      </c>
      <c r="T606" s="23" t="s">
        <v>4929</v>
      </c>
      <c r="U606" s="3">
        <v>34</v>
      </c>
      <c r="V606" s="3" t="s">
        <v>6134</v>
      </c>
      <c r="W606" s="45" t="str">
        <f>HYPERLINK("http://ictvonline.org/taxonomy/p/taxonomy-history?taxnode_id=201856666","ICTVonline=201856666")</f>
        <v>ICTVonline=201856666</v>
      </c>
      <c r="AA606" s="1">
        <v>201850000</v>
      </c>
      <c r="AB606" s="1">
        <v>34</v>
      </c>
    </row>
    <row r="607" spans="1:28" x14ac:dyDescent="0.15">
      <c r="A607" s="1">
        <v>1513</v>
      </c>
      <c r="B607" s="1" t="s">
        <v>7159</v>
      </c>
      <c r="F607" s="1" t="s">
        <v>5617</v>
      </c>
      <c r="G607" s="1" t="s">
        <v>5708</v>
      </c>
      <c r="H607" s="1" t="s">
        <v>5709</v>
      </c>
      <c r="J607" s="1" t="s">
        <v>4108</v>
      </c>
      <c r="L607" s="1" t="s">
        <v>6131</v>
      </c>
      <c r="N607" s="1" t="s">
        <v>6132</v>
      </c>
      <c r="P607" s="1" t="s">
        <v>5736</v>
      </c>
      <c r="Q607" s="3">
        <v>0</v>
      </c>
      <c r="S607" s="23" t="s">
        <v>5949</v>
      </c>
      <c r="T607" s="23" t="s">
        <v>4931</v>
      </c>
      <c r="U607" s="3">
        <v>34</v>
      </c>
      <c r="W607" s="45" t="str">
        <f>HYPERLINK("http://ictvonline.org/taxonomy/p/taxonomy-history?taxnode_id=201850184","ICTVonline=201850184")</f>
        <v>ICTVonline=201850184</v>
      </c>
      <c r="AA607" s="1">
        <v>201850000</v>
      </c>
      <c r="AB607" s="1">
        <v>34</v>
      </c>
    </row>
    <row r="608" spans="1:28" x14ac:dyDescent="0.15">
      <c r="A608" s="1">
        <v>1515</v>
      </c>
      <c r="B608" s="1" t="s">
        <v>7159</v>
      </c>
      <c r="F608" s="1" t="s">
        <v>5617</v>
      </c>
      <c r="G608" s="1" t="s">
        <v>5708</v>
      </c>
      <c r="H608" s="1" t="s">
        <v>5709</v>
      </c>
      <c r="J608" s="1" t="s">
        <v>4108</v>
      </c>
      <c r="L608" s="1" t="s">
        <v>6131</v>
      </c>
      <c r="N608" s="1" t="s">
        <v>6132</v>
      </c>
      <c r="P608" s="1" t="s">
        <v>6140</v>
      </c>
      <c r="Q608" s="3">
        <v>0</v>
      </c>
      <c r="S608" s="23" t="s">
        <v>5949</v>
      </c>
      <c r="T608" s="23" t="s">
        <v>4929</v>
      </c>
      <c r="U608" s="3">
        <v>34</v>
      </c>
      <c r="V608" s="3" t="s">
        <v>6134</v>
      </c>
      <c r="W608" s="45" t="str">
        <f>HYPERLINK("http://ictvonline.org/taxonomy/p/taxonomy-history?taxnode_id=201856667","ICTVonline=201856667")</f>
        <v>ICTVonline=201856667</v>
      </c>
      <c r="AA608" s="1">
        <v>201850000</v>
      </c>
      <c r="AB608" s="1">
        <v>34</v>
      </c>
    </row>
    <row r="609" spans="1:28" x14ac:dyDescent="0.15">
      <c r="A609" s="1">
        <v>1517</v>
      </c>
      <c r="B609" s="1" t="s">
        <v>7159</v>
      </c>
      <c r="F609" s="1" t="s">
        <v>5617</v>
      </c>
      <c r="G609" s="1" t="s">
        <v>5708</v>
      </c>
      <c r="H609" s="1" t="s">
        <v>5709</v>
      </c>
      <c r="J609" s="1" t="s">
        <v>4108</v>
      </c>
      <c r="L609" s="1" t="s">
        <v>6131</v>
      </c>
      <c r="N609" s="1" t="s">
        <v>6132</v>
      </c>
      <c r="P609" s="1" t="s">
        <v>5737</v>
      </c>
      <c r="Q609" s="3">
        <v>0</v>
      </c>
      <c r="S609" s="23" t="s">
        <v>5949</v>
      </c>
      <c r="T609" s="23" t="s">
        <v>4931</v>
      </c>
      <c r="U609" s="3">
        <v>34</v>
      </c>
      <c r="W609" s="45" t="str">
        <f>HYPERLINK("http://ictvonline.org/taxonomy/p/taxonomy-history?taxnode_id=201850185","ICTVonline=201850185")</f>
        <v>ICTVonline=201850185</v>
      </c>
      <c r="AA609" s="1">
        <v>201850000</v>
      </c>
      <c r="AB609" s="1">
        <v>34</v>
      </c>
    </row>
    <row r="610" spans="1:28" x14ac:dyDescent="0.15">
      <c r="A610" s="1">
        <v>1519</v>
      </c>
      <c r="B610" s="1" t="s">
        <v>7159</v>
      </c>
      <c r="F610" s="1" t="s">
        <v>5617</v>
      </c>
      <c r="G610" s="1" t="s">
        <v>5708</v>
      </c>
      <c r="H610" s="1" t="s">
        <v>5709</v>
      </c>
      <c r="J610" s="1" t="s">
        <v>4108</v>
      </c>
      <c r="L610" s="1" t="s">
        <v>6131</v>
      </c>
      <c r="N610" s="1" t="s">
        <v>6132</v>
      </c>
      <c r="P610" s="1" t="s">
        <v>5738</v>
      </c>
      <c r="Q610" s="3">
        <v>1</v>
      </c>
      <c r="S610" s="23" t="s">
        <v>5949</v>
      </c>
      <c r="T610" s="23" t="s">
        <v>4931</v>
      </c>
      <c r="U610" s="3">
        <v>34</v>
      </c>
      <c r="W610" s="45" t="str">
        <f>HYPERLINK("http://ictvonline.org/taxonomy/p/taxonomy-history?taxnode_id=201850186","ICTVonline=201850186")</f>
        <v>ICTVonline=201850186</v>
      </c>
      <c r="AA610" s="1">
        <v>201850000</v>
      </c>
      <c r="AB610" s="1">
        <v>34</v>
      </c>
    </row>
    <row r="611" spans="1:28" x14ac:dyDescent="0.15">
      <c r="A611" s="1">
        <v>1521</v>
      </c>
      <c r="B611" s="1" t="s">
        <v>7159</v>
      </c>
      <c r="F611" s="1" t="s">
        <v>5617</v>
      </c>
      <c r="G611" s="1" t="s">
        <v>5708</v>
      </c>
      <c r="H611" s="1" t="s">
        <v>5709</v>
      </c>
      <c r="J611" s="1" t="s">
        <v>4108</v>
      </c>
      <c r="L611" s="1" t="s">
        <v>6131</v>
      </c>
      <c r="N611" s="1" t="s">
        <v>6132</v>
      </c>
      <c r="P611" s="1" t="s">
        <v>5739</v>
      </c>
      <c r="Q611" s="3">
        <v>0</v>
      </c>
      <c r="S611" s="23" t="s">
        <v>5949</v>
      </c>
      <c r="T611" s="23" t="s">
        <v>4931</v>
      </c>
      <c r="U611" s="3">
        <v>34</v>
      </c>
      <c r="W611" s="45" t="str">
        <f>HYPERLINK("http://ictvonline.org/taxonomy/p/taxonomy-history?taxnode_id=201850187","ICTVonline=201850187")</f>
        <v>ICTVonline=201850187</v>
      </c>
      <c r="AA611" s="1">
        <v>201850000</v>
      </c>
      <c r="AB611" s="1">
        <v>34</v>
      </c>
    </row>
    <row r="612" spans="1:28" x14ac:dyDescent="0.15">
      <c r="A612" s="1">
        <v>1523</v>
      </c>
      <c r="B612" s="1" t="s">
        <v>7159</v>
      </c>
      <c r="F612" s="1" t="s">
        <v>5617</v>
      </c>
      <c r="G612" s="1" t="s">
        <v>5708</v>
      </c>
      <c r="H612" s="1" t="s">
        <v>5709</v>
      </c>
      <c r="J612" s="1" t="s">
        <v>4108</v>
      </c>
      <c r="L612" s="1" t="s">
        <v>6131</v>
      </c>
      <c r="N612" s="1" t="s">
        <v>6132</v>
      </c>
      <c r="P612" s="1" t="s">
        <v>5740</v>
      </c>
      <c r="Q612" s="3">
        <v>0</v>
      </c>
      <c r="S612" s="23" t="s">
        <v>5949</v>
      </c>
      <c r="T612" s="23" t="s">
        <v>4931</v>
      </c>
      <c r="U612" s="3">
        <v>34</v>
      </c>
      <c r="W612" s="45" t="str">
        <f>HYPERLINK("http://ictvonline.org/taxonomy/p/taxonomy-history?taxnode_id=201850188","ICTVonline=201850188")</f>
        <v>ICTVonline=201850188</v>
      </c>
      <c r="AA612" s="1">
        <v>201850000</v>
      </c>
      <c r="AB612" s="1">
        <v>34</v>
      </c>
    </row>
    <row r="613" spans="1:28" x14ac:dyDescent="0.15">
      <c r="A613" s="1">
        <v>1525</v>
      </c>
      <c r="B613" s="1" t="s">
        <v>7159</v>
      </c>
      <c r="F613" s="1" t="s">
        <v>5617</v>
      </c>
      <c r="G613" s="1" t="s">
        <v>5708</v>
      </c>
      <c r="H613" s="1" t="s">
        <v>5709</v>
      </c>
      <c r="J613" s="1" t="s">
        <v>4108</v>
      </c>
      <c r="L613" s="1" t="s">
        <v>6131</v>
      </c>
      <c r="N613" s="1" t="s">
        <v>6132</v>
      </c>
      <c r="P613" s="1" t="s">
        <v>5741</v>
      </c>
      <c r="Q613" s="3">
        <v>0</v>
      </c>
      <c r="S613" s="23" t="s">
        <v>5949</v>
      </c>
      <c r="T613" s="23" t="s">
        <v>4931</v>
      </c>
      <c r="U613" s="3">
        <v>34</v>
      </c>
      <c r="W613" s="45" t="str">
        <f>HYPERLINK("http://ictvonline.org/taxonomy/p/taxonomy-history?taxnode_id=201850189","ICTVonline=201850189")</f>
        <v>ICTVonline=201850189</v>
      </c>
      <c r="AA613" s="1">
        <v>201850000</v>
      </c>
      <c r="AB613" s="1">
        <v>34</v>
      </c>
    </row>
    <row r="614" spans="1:28" x14ac:dyDescent="0.15">
      <c r="A614" s="1">
        <v>1531</v>
      </c>
      <c r="B614" s="1" t="s">
        <v>7159</v>
      </c>
      <c r="F614" s="1" t="s">
        <v>5617</v>
      </c>
      <c r="G614" s="1" t="s">
        <v>5708</v>
      </c>
      <c r="H614" s="1" t="s">
        <v>5709</v>
      </c>
      <c r="J614" s="1" t="s">
        <v>4108</v>
      </c>
      <c r="L614" s="1" t="s">
        <v>5767</v>
      </c>
      <c r="N614" s="1" t="s">
        <v>5768</v>
      </c>
      <c r="P614" s="1" t="s">
        <v>5769</v>
      </c>
      <c r="Q614" s="3">
        <v>1</v>
      </c>
      <c r="S614" s="23" t="s">
        <v>5949</v>
      </c>
      <c r="T614" s="23" t="s">
        <v>4931</v>
      </c>
      <c r="U614" s="3">
        <v>34</v>
      </c>
      <c r="W614" s="45" t="str">
        <f>HYPERLINK("http://ictvonline.org/taxonomy/p/taxonomy-history?taxnode_id=201856242","ICTVonline=201856242")</f>
        <v>ICTVonline=201856242</v>
      </c>
      <c r="AA614" s="1">
        <v>201850000</v>
      </c>
      <c r="AB614" s="1">
        <v>34</v>
      </c>
    </row>
    <row r="615" spans="1:28" x14ac:dyDescent="0.15">
      <c r="A615" s="1">
        <v>1536</v>
      </c>
      <c r="B615" s="1" t="s">
        <v>7159</v>
      </c>
      <c r="F615" s="1" t="s">
        <v>5617</v>
      </c>
      <c r="G615" s="1" t="s">
        <v>5708</v>
      </c>
      <c r="H615" s="1" t="s">
        <v>5709</v>
      </c>
      <c r="J615" s="1" t="s">
        <v>4108</v>
      </c>
      <c r="N615" s="1" t="s">
        <v>6141</v>
      </c>
      <c r="P615" s="1" t="s">
        <v>6142</v>
      </c>
      <c r="Q615" s="3">
        <v>1</v>
      </c>
      <c r="S615" s="23" t="s">
        <v>5949</v>
      </c>
      <c r="T615" s="23" t="s">
        <v>4929</v>
      </c>
      <c r="U615" s="3">
        <v>34</v>
      </c>
      <c r="V615" s="3" t="s">
        <v>6143</v>
      </c>
      <c r="W615" s="45" t="str">
        <f>HYPERLINK("http://ictvonline.org/taxonomy/p/taxonomy-history?taxnode_id=201856630","ICTVonline=201856630")</f>
        <v>ICTVonline=201856630</v>
      </c>
      <c r="AA615" s="1">
        <v>201850000</v>
      </c>
      <c r="AB615" s="1">
        <v>34</v>
      </c>
    </row>
    <row r="616" spans="1:28" x14ac:dyDescent="0.15">
      <c r="A616" s="1">
        <v>1545</v>
      </c>
      <c r="B616" s="1" t="s">
        <v>7159</v>
      </c>
      <c r="F616" s="1" t="s">
        <v>5617</v>
      </c>
      <c r="G616" s="1" t="s">
        <v>5708</v>
      </c>
      <c r="H616" s="1" t="s">
        <v>5770</v>
      </c>
      <c r="J616" s="1" t="s">
        <v>5771</v>
      </c>
      <c r="L616" s="1" t="s">
        <v>5772</v>
      </c>
      <c r="N616" s="1" t="s">
        <v>4923</v>
      </c>
      <c r="P616" s="1" t="s">
        <v>4924</v>
      </c>
      <c r="Q616" s="3">
        <v>1</v>
      </c>
      <c r="S616" s="23" t="s">
        <v>5949</v>
      </c>
      <c r="T616" s="23" t="s">
        <v>4931</v>
      </c>
      <c r="U616" s="3">
        <v>34</v>
      </c>
      <c r="W616" s="45" t="str">
        <f>HYPERLINK("http://ictvonline.org/taxonomy/p/taxonomy-history?taxnode_id=201855391","ICTVonline=201855391")</f>
        <v>ICTVonline=201855391</v>
      </c>
      <c r="AA616" s="1">
        <v>201850000</v>
      </c>
      <c r="AB616" s="1">
        <v>34</v>
      </c>
    </row>
    <row r="617" spans="1:28" s="25" customFormat="1" x14ac:dyDescent="0.15">
      <c r="A617" s="25">
        <v>1551</v>
      </c>
      <c r="B617" s="25" t="s">
        <v>7159</v>
      </c>
      <c r="F617" s="25" t="s">
        <v>5617</v>
      </c>
      <c r="G617" s="25" t="s">
        <v>5708</v>
      </c>
      <c r="H617" s="25" t="s">
        <v>5770</v>
      </c>
      <c r="J617" s="1" t="s">
        <v>5771</v>
      </c>
      <c r="K617" s="1"/>
      <c r="L617" s="1" t="s">
        <v>1623</v>
      </c>
      <c r="M617" s="1"/>
      <c r="N617" s="1" t="s">
        <v>5462</v>
      </c>
      <c r="O617" s="1"/>
      <c r="P617" s="1" t="s">
        <v>909</v>
      </c>
      <c r="Q617" s="3">
        <v>1</v>
      </c>
      <c r="R617" s="23"/>
      <c r="S617" s="23" t="s">
        <v>5949</v>
      </c>
      <c r="T617" s="23" t="s">
        <v>4931</v>
      </c>
      <c r="U617" s="3">
        <v>34</v>
      </c>
      <c r="V617" s="3"/>
      <c r="W617" s="45" t="str">
        <f>HYPERLINK("http://ictvonline.org/taxonomy/p/taxonomy-history?taxnode_id=201853956","ICTVonline=201853956")</f>
        <v>ICTVonline=201853956</v>
      </c>
      <c r="AA617" s="25">
        <v>201850000</v>
      </c>
      <c r="AB617" s="25">
        <v>34</v>
      </c>
    </row>
    <row r="618" spans="1:28" x14ac:dyDescent="0.15">
      <c r="A618" s="1">
        <v>1555</v>
      </c>
      <c r="B618" s="1" t="s">
        <v>7159</v>
      </c>
      <c r="F618" s="1" t="s">
        <v>5617</v>
      </c>
      <c r="G618" s="1" t="s">
        <v>5708</v>
      </c>
      <c r="H618" s="1" t="s">
        <v>5770</v>
      </c>
      <c r="J618" s="1" t="s">
        <v>5771</v>
      </c>
      <c r="L618" s="1" t="s">
        <v>1623</v>
      </c>
      <c r="N618" s="1" t="s">
        <v>5463</v>
      </c>
      <c r="P618" s="1" t="s">
        <v>826</v>
      </c>
      <c r="Q618" s="3">
        <v>1</v>
      </c>
      <c r="S618" s="23" t="s">
        <v>5949</v>
      </c>
      <c r="T618" s="23" t="s">
        <v>4931</v>
      </c>
      <c r="U618" s="3">
        <v>34</v>
      </c>
      <c r="W618" s="45" t="str">
        <f>HYPERLINK("http://ictvonline.org/taxonomy/p/taxonomy-history?taxnode_id=201853958","ICTVonline=201853958")</f>
        <v>ICTVonline=201853958</v>
      </c>
      <c r="AA618" s="1">
        <v>201850000</v>
      </c>
      <c r="AB618" s="1">
        <v>34</v>
      </c>
    </row>
    <row r="619" spans="1:28" x14ac:dyDescent="0.15">
      <c r="A619" s="1">
        <v>1559</v>
      </c>
      <c r="B619" s="1" t="s">
        <v>7159</v>
      </c>
      <c r="F619" s="1" t="s">
        <v>5617</v>
      </c>
      <c r="G619" s="1" t="s">
        <v>5708</v>
      </c>
      <c r="H619" s="1" t="s">
        <v>5770</v>
      </c>
      <c r="J619" s="1" t="s">
        <v>5771</v>
      </c>
      <c r="L619" s="1" t="s">
        <v>1623</v>
      </c>
      <c r="N619" s="1" t="s">
        <v>5464</v>
      </c>
      <c r="P619" s="1" t="s">
        <v>4815</v>
      </c>
      <c r="Q619" s="3">
        <v>1</v>
      </c>
      <c r="S619" s="23" t="s">
        <v>5949</v>
      </c>
      <c r="T619" s="23" t="s">
        <v>4931</v>
      </c>
      <c r="U619" s="3">
        <v>34</v>
      </c>
      <c r="W619" s="45" t="str">
        <f>HYPERLINK("http://ictvonline.org/taxonomy/p/taxonomy-history?taxnode_id=201853962","ICTVonline=201853962")</f>
        <v>ICTVonline=201853962</v>
      </c>
      <c r="AA619" s="1">
        <v>201850000</v>
      </c>
      <c r="AB619" s="1">
        <v>34</v>
      </c>
    </row>
    <row r="620" spans="1:28" x14ac:dyDescent="0.15">
      <c r="A620" s="1">
        <v>1563</v>
      </c>
      <c r="B620" s="1" t="s">
        <v>7159</v>
      </c>
      <c r="F620" s="1" t="s">
        <v>5617</v>
      </c>
      <c r="G620" s="1" t="s">
        <v>5708</v>
      </c>
      <c r="H620" s="1" t="s">
        <v>5770</v>
      </c>
      <c r="J620" s="1" t="s">
        <v>5771</v>
      </c>
      <c r="L620" s="1" t="s">
        <v>1623</v>
      </c>
      <c r="N620" s="1" t="s">
        <v>5465</v>
      </c>
      <c r="P620" s="1" t="s">
        <v>827</v>
      </c>
      <c r="Q620" s="3">
        <v>1</v>
      </c>
      <c r="S620" s="23" t="s">
        <v>5949</v>
      </c>
      <c r="T620" s="23" t="s">
        <v>4931</v>
      </c>
      <c r="U620" s="3">
        <v>34</v>
      </c>
      <c r="W620" s="45" t="str">
        <f>HYPERLINK("http://ictvonline.org/taxonomy/p/taxonomy-history?taxnode_id=201853960","ICTVonline=201853960")</f>
        <v>ICTVonline=201853960</v>
      </c>
      <c r="AA620" s="1">
        <v>201850000</v>
      </c>
      <c r="AB620" s="1">
        <v>34</v>
      </c>
    </row>
    <row r="621" spans="1:28" x14ac:dyDescent="0.15">
      <c r="A621" s="1">
        <v>1567</v>
      </c>
      <c r="B621" s="1" t="s">
        <v>7159</v>
      </c>
      <c r="F621" s="1" t="s">
        <v>5617</v>
      </c>
      <c r="G621" s="1" t="s">
        <v>5708</v>
      </c>
      <c r="H621" s="1" t="s">
        <v>5770</v>
      </c>
      <c r="J621" s="1" t="s">
        <v>5771</v>
      </c>
      <c r="L621" s="1" t="s">
        <v>1623</v>
      </c>
      <c r="N621" s="1" t="s">
        <v>828</v>
      </c>
      <c r="P621" s="1" t="s">
        <v>5466</v>
      </c>
      <c r="Q621" s="3">
        <v>1</v>
      </c>
      <c r="S621" s="23" t="s">
        <v>5949</v>
      </c>
      <c r="T621" s="23" t="s">
        <v>4931</v>
      </c>
      <c r="U621" s="3">
        <v>34</v>
      </c>
      <c r="W621" s="45" t="str">
        <f>HYPERLINK("http://ictvonline.org/taxonomy/p/taxonomy-history?taxnode_id=201853964","ICTVonline=201853964")</f>
        <v>ICTVonline=201853964</v>
      </c>
      <c r="AA621" s="1">
        <v>201850000</v>
      </c>
      <c r="AB621" s="1">
        <v>34</v>
      </c>
    </row>
    <row r="622" spans="1:28" x14ac:dyDescent="0.15">
      <c r="A622" s="1">
        <v>1571</v>
      </c>
      <c r="B622" s="1" t="s">
        <v>7159</v>
      </c>
      <c r="F622" s="1" t="s">
        <v>5617</v>
      </c>
      <c r="G622" s="1" t="s">
        <v>5708</v>
      </c>
      <c r="H622" s="1" t="s">
        <v>5770</v>
      </c>
      <c r="J622" s="1" t="s">
        <v>5771</v>
      </c>
      <c r="L622" s="1" t="s">
        <v>1623</v>
      </c>
      <c r="N622" s="1" t="s">
        <v>2270</v>
      </c>
      <c r="P622" s="1" t="s">
        <v>5467</v>
      </c>
      <c r="Q622" s="3">
        <v>0</v>
      </c>
      <c r="S622" s="23" t="s">
        <v>5949</v>
      </c>
      <c r="T622" s="23" t="s">
        <v>4931</v>
      </c>
      <c r="U622" s="3">
        <v>34</v>
      </c>
      <c r="W622" s="45" t="str">
        <f>HYPERLINK("http://ictvonline.org/taxonomy/p/taxonomy-history?taxnode_id=201853966","ICTVonline=201853966")</f>
        <v>ICTVonline=201853966</v>
      </c>
      <c r="AA622" s="1">
        <v>201850000</v>
      </c>
      <c r="AB622" s="1">
        <v>34</v>
      </c>
    </row>
    <row r="623" spans="1:28" x14ac:dyDescent="0.15">
      <c r="A623" s="1">
        <v>1573</v>
      </c>
      <c r="B623" s="1" t="s">
        <v>7159</v>
      </c>
      <c r="F623" s="1" t="s">
        <v>5617</v>
      </c>
      <c r="G623" s="1" t="s">
        <v>5708</v>
      </c>
      <c r="H623" s="1" t="s">
        <v>5770</v>
      </c>
      <c r="J623" s="1" t="s">
        <v>5771</v>
      </c>
      <c r="L623" s="1" t="s">
        <v>1623</v>
      </c>
      <c r="N623" s="1" t="s">
        <v>2270</v>
      </c>
      <c r="P623" s="1" t="s">
        <v>5468</v>
      </c>
      <c r="Q623" s="3">
        <v>1</v>
      </c>
      <c r="S623" s="23" t="s">
        <v>5949</v>
      </c>
      <c r="T623" s="23" t="s">
        <v>4931</v>
      </c>
      <c r="U623" s="3">
        <v>34</v>
      </c>
      <c r="W623" s="45" t="str">
        <f>HYPERLINK("http://ictvonline.org/taxonomy/p/taxonomy-history?taxnode_id=201853967","ICTVonline=201853967")</f>
        <v>ICTVonline=201853967</v>
      </c>
      <c r="AA623" s="1">
        <v>201850000</v>
      </c>
      <c r="AB623" s="1">
        <v>34</v>
      </c>
    </row>
    <row r="624" spans="1:28" x14ac:dyDescent="0.15">
      <c r="A624" s="1">
        <v>1577</v>
      </c>
      <c r="B624" s="1" t="s">
        <v>7159</v>
      </c>
      <c r="F624" s="1" t="s">
        <v>5617</v>
      </c>
      <c r="G624" s="1" t="s">
        <v>5708</v>
      </c>
      <c r="H624" s="1" t="s">
        <v>5770</v>
      </c>
      <c r="J624" s="1" t="s">
        <v>5771</v>
      </c>
      <c r="L624" s="1" t="s">
        <v>1623</v>
      </c>
      <c r="N624" s="1" t="s">
        <v>829</v>
      </c>
      <c r="P624" s="1" t="s">
        <v>5469</v>
      </c>
      <c r="Q624" s="3">
        <v>0</v>
      </c>
      <c r="S624" s="23" t="s">
        <v>5949</v>
      </c>
      <c r="T624" s="23" t="s">
        <v>4931</v>
      </c>
      <c r="U624" s="3">
        <v>34</v>
      </c>
      <c r="W624" s="45" t="str">
        <f>HYPERLINK("http://ictvonline.org/taxonomy/p/taxonomy-history?taxnode_id=201853969","ICTVonline=201853969")</f>
        <v>ICTVonline=201853969</v>
      </c>
      <c r="AA624" s="1">
        <v>201850000</v>
      </c>
      <c r="AB624" s="1">
        <v>34</v>
      </c>
    </row>
    <row r="625" spans="1:28" x14ac:dyDescent="0.15">
      <c r="A625" s="1">
        <v>1579</v>
      </c>
      <c r="B625" s="1" t="s">
        <v>7159</v>
      </c>
      <c r="F625" s="1" t="s">
        <v>5617</v>
      </c>
      <c r="G625" s="1" t="s">
        <v>5708</v>
      </c>
      <c r="H625" s="1" t="s">
        <v>5770</v>
      </c>
      <c r="J625" s="1" t="s">
        <v>5771</v>
      </c>
      <c r="L625" s="1" t="s">
        <v>1623</v>
      </c>
      <c r="N625" s="1" t="s">
        <v>829</v>
      </c>
      <c r="P625" s="1" t="s">
        <v>5470</v>
      </c>
      <c r="Q625" s="3">
        <v>1</v>
      </c>
      <c r="S625" s="23" t="s">
        <v>5949</v>
      </c>
      <c r="T625" s="23" t="s">
        <v>4931</v>
      </c>
      <c r="U625" s="3">
        <v>34</v>
      </c>
      <c r="W625" s="45" t="str">
        <f>HYPERLINK("http://ictvonline.org/taxonomy/p/taxonomy-history?taxnode_id=201853970","ICTVonline=201853970")</f>
        <v>ICTVonline=201853970</v>
      </c>
      <c r="AA625" s="1">
        <v>201850000</v>
      </c>
      <c r="AB625" s="1">
        <v>34</v>
      </c>
    </row>
    <row r="626" spans="1:28" x14ac:dyDescent="0.15">
      <c r="A626" s="1">
        <v>1593</v>
      </c>
      <c r="B626" s="1" t="s">
        <v>7159</v>
      </c>
      <c r="J626" s="1" t="s">
        <v>1439</v>
      </c>
      <c r="K626" s="1" t="s">
        <v>5773</v>
      </c>
      <c r="L626" s="1" t="s">
        <v>5774</v>
      </c>
      <c r="M626" s="1" t="s">
        <v>5775</v>
      </c>
      <c r="N626" s="1" t="s">
        <v>5776</v>
      </c>
      <c r="O626" s="1" t="s">
        <v>5777</v>
      </c>
      <c r="P626" s="1" t="s">
        <v>5778</v>
      </c>
      <c r="Q626" s="3">
        <v>1</v>
      </c>
      <c r="S626" s="23" t="s">
        <v>5949</v>
      </c>
      <c r="T626" s="23" t="s">
        <v>4931</v>
      </c>
      <c r="U626" s="3">
        <v>34</v>
      </c>
      <c r="W626" s="45" t="str">
        <f>HYPERLINK("http://ictvonline.org/taxonomy/p/taxonomy-history?taxnode_id=201856200","ICTVonline=201856200")</f>
        <v>ICTVonline=201856200</v>
      </c>
      <c r="AA626" s="1">
        <v>201850000</v>
      </c>
      <c r="AB626" s="1">
        <v>34</v>
      </c>
    </row>
    <row r="627" spans="1:28" x14ac:dyDescent="0.15">
      <c r="A627" s="1">
        <v>1604</v>
      </c>
      <c r="B627" s="1" t="s">
        <v>7159</v>
      </c>
      <c r="J627" s="1" t="s">
        <v>1439</v>
      </c>
      <c r="K627" s="1" t="s">
        <v>5779</v>
      </c>
      <c r="L627" s="1" t="s">
        <v>1440</v>
      </c>
      <c r="M627" s="1" t="s">
        <v>5780</v>
      </c>
      <c r="N627" s="1" t="s">
        <v>5781</v>
      </c>
      <c r="P627" s="1" t="s">
        <v>5782</v>
      </c>
      <c r="Q627" s="3">
        <v>1</v>
      </c>
      <c r="S627" s="23" t="s">
        <v>5949</v>
      </c>
      <c r="T627" s="23" t="s">
        <v>4931</v>
      </c>
      <c r="U627" s="3">
        <v>34</v>
      </c>
      <c r="W627" s="45" t="str">
        <f>HYPERLINK("http://ictvonline.org/taxonomy/p/taxonomy-history?taxnode_id=201856015","ICTVonline=201856015")</f>
        <v>ICTVonline=201856015</v>
      </c>
      <c r="AA627" s="1">
        <v>201850000</v>
      </c>
      <c r="AB627" s="1">
        <v>34</v>
      </c>
    </row>
    <row r="628" spans="1:28" x14ac:dyDescent="0.15">
      <c r="A628" s="1">
        <v>1610</v>
      </c>
      <c r="B628" s="1" t="s">
        <v>7159</v>
      </c>
      <c r="J628" s="1" t="s">
        <v>1439</v>
      </c>
      <c r="K628" s="1" t="s">
        <v>5779</v>
      </c>
      <c r="L628" s="1" t="s">
        <v>1440</v>
      </c>
      <c r="M628" s="1" t="s">
        <v>5783</v>
      </c>
      <c r="N628" s="1" t="s">
        <v>5784</v>
      </c>
      <c r="P628" s="1" t="s">
        <v>5785</v>
      </c>
      <c r="Q628" s="3">
        <v>1</v>
      </c>
      <c r="S628" s="23" t="s">
        <v>5949</v>
      </c>
      <c r="T628" s="23" t="s">
        <v>4931</v>
      </c>
      <c r="U628" s="3">
        <v>34</v>
      </c>
      <c r="W628" s="45" t="str">
        <f>HYPERLINK("http://ictvonline.org/taxonomy/p/taxonomy-history?taxnode_id=201851827","ICTVonline=201851827")</f>
        <v>ICTVonline=201851827</v>
      </c>
      <c r="AA628" s="1">
        <v>201850000</v>
      </c>
      <c r="AB628" s="1">
        <v>34</v>
      </c>
    </row>
    <row r="629" spans="1:28" x14ac:dyDescent="0.15">
      <c r="A629" s="1">
        <v>1616</v>
      </c>
      <c r="B629" s="1" t="s">
        <v>7159</v>
      </c>
      <c r="J629" s="1" t="s">
        <v>1439</v>
      </c>
      <c r="K629" s="1" t="s">
        <v>5779</v>
      </c>
      <c r="L629" s="1" t="s">
        <v>1440</v>
      </c>
      <c r="M629" s="1" t="s">
        <v>5786</v>
      </c>
      <c r="N629" s="1" t="s">
        <v>5787</v>
      </c>
      <c r="P629" s="1" t="s">
        <v>5788</v>
      </c>
      <c r="Q629" s="3">
        <v>1</v>
      </c>
      <c r="S629" s="23" t="s">
        <v>5949</v>
      </c>
      <c r="T629" s="23" t="s">
        <v>4931</v>
      </c>
      <c r="U629" s="3">
        <v>34</v>
      </c>
      <c r="W629" s="45" t="str">
        <f>HYPERLINK("http://ictvonline.org/taxonomy/p/taxonomy-history?taxnode_id=201851829","ICTVonline=201851829")</f>
        <v>ICTVonline=201851829</v>
      </c>
      <c r="AA629" s="1">
        <v>201850000</v>
      </c>
      <c r="AB629" s="1">
        <v>34</v>
      </c>
    </row>
    <row r="630" spans="1:28" x14ac:dyDescent="0.15">
      <c r="A630" s="1">
        <v>1623</v>
      </c>
      <c r="B630" s="1" t="s">
        <v>7159</v>
      </c>
      <c r="J630" s="1" t="s">
        <v>1439</v>
      </c>
      <c r="K630" s="1" t="s">
        <v>5779</v>
      </c>
      <c r="L630" s="1" t="s">
        <v>1440</v>
      </c>
      <c r="M630" s="1" t="s">
        <v>5789</v>
      </c>
      <c r="N630" s="1" t="s">
        <v>5790</v>
      </c>
      <c r="O630" s="1" t="s">
        <v>5791</v>
      </c>
      <c r="P630" s="1" t="s">
        <v>5792</v>
      </c>
      <c r="Q630" s="3">
        <v>1</v>
      </c>
      <c r="S630" s="23" t="s">
        <v>5949</v>
      </c>
      <c r="T630" s="23" t="s">
        <v>4931</v>
      </c>
      <c r="U630" s="3">
        <v>34</v>
      </c>
      <c r="W630" s="45" t="str">
        <f>HYPERLINK("http://ictvonline.org/taxonomy/p/taxonomy-history?taxnode_id=201851845","ICTVonline=201851845")</f>
        <v>ICTVonline=201851845</v>
      </c>
      <c r="AA630" s="1">
        <v>201850000</v>
      </c>
      <c r="AB630" s="1">
        <v>34</v>
      </c>
    </row>
    <row r="631" spans="1:28" x14ac:dyDescent="0.15">
      <c r="A631" s="1">
        <v>1627</v>
      </c>
      <c r="B631" s="1" t="s">
        <v>7159</v>
      </c>
      <c r="J631" s="1" t="s">
        <v>1439</v>
      </c>
      <c r="K631" s="1" t="s">
        <v>5779</v>
      </c>
      <c r="L631" s="1" t="s">
        <v>1440</v>
      </c>
      <c r="M631" s="1" t="s">
        <v>5789</v>
      </c>
      <c r="N631" s="1" t="s">
        <v>5790</v>
      </c>
      <c r="O631" s="1" t="s">
        <v>5803</v>
      </c>
      <c r="P631" s="1" t="s">
        <v>5804</v>
      </c>
      <c r="Q631" s="3">
        <v>0</v>
      </c>
      <c r="S631" s="23" t="s">
        <v>5949</v>
      </c>
      <c r="T631" s="23" t="s">
        <v>4931</v>
      </c>
      <c r="U631" s="3">
        <v>34</v>
      </c>
      <c r="W631" s="45" t="str">
        <f>HYPERLINK("http://ictvonline.org/taxonomy/p/taxonomy-history?taxnode_id=201851843","ICTVonline=201851843")</f>
        <v>ICTVonline=201851843</v>
      </c>
      <c r="AA631" s="1">
        <v>201850000</v>
      </c>
      <c r="AB631" s="1">
        <v>34</v>
      </c>
    </row>
    <row r="632" spans="1:28" x14ac:dyDescent="0.15">
      <c r="A632" s="1">
        <v>1633</v>
      </c>
      <c r="B632" s="1" t="s">
        <v>7159</v>
      </c>
      <c r="J632" s="1" t="s">
        <v>1439</v>
      </c>
      <c r="K632" s="1" t="s">
        <v>5779</v>
      </c>
      <c r="L632" s="1" t="s">
        <v>1440</v>
      </c>
      <c r="M632" s="1" t="s">
        <v>5789</v>
      </c>
      <c r="N632" s="1" t="s">
        <v>5793</v>
      </c>
      <c r="O632" s="1" t="s">
        <v>5794</v>
      </c>
      <c r="P632" s="1" t="s">
        <v>5795</v>
      </c>
      <c r="Q632" s="3">
        <v>1</v>
      </c>
      <c r="S632" s="23" t="s">
        <v>5949</v>
      </c>
      <c r="T632" s="23" t="s">
        <v>4931</v>
      </c>
      <c r="U632" s="3">
        <v>34</v>
      </c>
      <c r="W632" s="45" t="str">
        <f>HYPERLINK("http://ictvonline.org/taxonomy/p/taxonomy-history?taxnode_id=201851844","ICTVonline=201851844")</f>
        <v>ICTVonline=201851844</v>
      </c>
      <c r="AA632" s="1">
        <v>201850000</v>
      </c>
      <c r="AB632" s="1">
        <v>34</v>
      </c>
    </row>
    <row r="633" spans="1:28" x14ac:dyDescent="0.15">
      <c r="A633" s="1">
        <v>1635</v>
      </c>
      <c r="B633" s="1" t="s">
        <v>7159</v>
      </c>
      <c r="J633" s="1" t="s">
        <v>1439</v>
      </c>
      <c r="K633" s="1" t="s">
        <v>5779</v>
      </c>
      <c r="L633" s="1" t="s">
        <v>1440</v>
      </c>
      <c r="M633" s="1" t="s">
        <v>5789</v>
      </c>
      <c r="N633" s="1" t="s">
        <v>5793</v>
      </c>
      <c r="O633" s="1" t="s">
        <v>5794</v>
      </c>
      <c r="P633" s="1" t="s">
        <v>5796</v>
      </c>
      <c r="Q633" s="3">
        <v>0</v>
      </c>
      <c r="S633" s="23" t="s">
        <v>5949</v>
      </c>
      <c r="T633" s="23" t="s">
        <v>4931</v>
      </c>
      <c r="U633" s="3">
        <v>34</v>
      </c>
      <c r="W633" s="45" t="str">
        <f>HYPERLINK("http://ictvonline.org/taxonomy/p/taxonomy-history?taxnode_id=201851837","ICTVonline=201851837")</f>
        <v>ICTVonline=201851837</v>
      </c>
      <c r="AA633" s="1">
        <v>201850000</v>
      </c>
      <c r="AB633" s="1">
        <v>34</v>
      </c>
    </row>
    <row r="634" spans="1:28" x14ac:dyDescent="0.15">
      <c r="A634" s="1">
        <v>1637</v>
      </c>
      <c r="B634" s="1" t="s">
        <v>7159</v>
      </c>
      <c r="J634" s="1" t="s">
        <v>1439</v>
      </c>
      <c r="K634" s="1" t="s">
        <v>5779</v>
      </c>
      <c r="L634" s="1" t="s">
        <v>1440</v>
      </c>
      <c r="M634" s="1" t="s">
        <v>5789</v>
      </c>
      <c r="N634" s="1" t="s">
        <v>5793</v>
      </c>
      <c r="O634" s="1" t="s">
        <v>5794</v>
      </c>
      <c r="P634" s="1" t="s">
        <v>5797</v>
      </c>
      <c r="Q634" s="3">
        <v>0</v>
      </c>
      <c r="S634" s="23" t="s">
        <v>5949</v>
      </c>
      <c r="T634" s="23" t="s">
        <v>4931</v>
      </c>
      <c r="U634" s="3">
        <v>34</v>
      </c>
      <c r="W634" s="45" t="str">
        <f>HYPERLINK("http://ictvonline.org/taxonomy/p/taxonomy-history?taxnode_id=201856098","ICTVonline=201856098")</f>
        <v>ICTVonline=201856098</v>
      </c>
      <c r="AA634" s="1">
        <v>201850000</v>
      </c>
      <c r="AB634" s="1">
        <v>34</v>
      </c>
    </row>
    <row r="635" spans="1:28" x14ac:dyDescent="0.15">
      <c r="A635" s="1">
        <v>1642</v>
      </c>
      <c r="B635" s="1" t="s">
        <v>7159</v>
      </c>
      <c r="J635" s="1" t="s">
        <v>1439</v>
      </c>
      <c r="K635" s="1" t="s">
        <v>5779</v>
      </c>
      <c r="L635" s="1" t="s">
        <v>1440</v>
      </c>
      <c r="M635" s="1" t="s">
        <v>5789</v>
      </c>
      <c r="N635" s="1" t="s">
        <v>5798</v>
      </c>
      <c r="P635" s="1" t="s">
        <v>5799</v>
      </c>
      <c r="Q635" s="3">
        <v>1</v>
      </c>
      <c r="S635" s="23" t="s">
        <v>5949</v>
      </c>
      <c r="T635" s="23" t="s">
        <v>4931</v>
      </c>
      <c r="U635" s="3">
        <v>34</v>
      </c>
      <c r="W635" s="45" t="str">
        <f>HYPERLINK("http://ictvonline.org/taxonomy/p/taxonomy-history?taxnode_id=201851840","ICTVonline=201851840")</f>
        <v>ICTVonline=201851840</v>
      </c>
      <c r="AA635" s="1">
        <v>201850000</v>
      </c>
      <c r="AB635" s="1">
        <v>34</v>
      </c>
    </row>
    <row r="636" spans="1:28" x14ac:dyDescent="0.15">
      <c r="A636" s="1">
        <v>1647</v>
      </c>
      <c r="B636" s="1" t="s">
        <v>7159</v>
      </c>
      <c r="J636" s="1" t="s">
        <v>1439</v>
      </c>
      <c r="K636" s="1" t="s">
        <v>5779</v>
      </c>
      <c r="L636" s="1" t="s">
        <v>1440</v>
      </c>
      <c r="M636" s="1" t="s">
        <v>5789</v>
      </c>
      <c r="N636" s="1" t="s">
        <v>5800</v>
      </c>
      <c r="O636" s="1" t="s">
        <v>5812</v>
      </c>
      <c r="P636" s="1" t="s">
        <v>5813</v>
      </c>
      <c r="Q636" s="3">
        <v>0</v>
      </c>
      <c r="S636" s="23" t="s">
        <v>5949</v>
      </c>
      <c r="T636" s="23" t="s">
        <v>4931</v>
      </c>
      <c r="U636" s="3">
        <v>34</v>
      </c>
      <c r="W636" s="45" t="str">
        <f>HYPERLINK("http://ictvonline.org/taxonomy/p/taxonomy-history?taxnode_id=201851836","ICTVonline=201851836")</f>
        <v>ICTVonline=201851836</v>
      </c>
      <c r="AA636" s="1">
        <v>201850000</v>
      </c>
      <c r="AB636" s="1">
        <v>34</v>
      </c>
    </row>
    <row r="637" spans="1:28" x14ac:dyDescent="0.15">
      <c r="A637" s="1">
        <v>1651</v>
      </c>
      <c r="B637" s="1" t="s">
        <v>7159</v>
      </c>
      <c r="J637" s="1" t="s">
        <v>1439</v>
      </c>
      <c r="K637" s="1" t="s">
        <v>5779</v>
      </c>
      <c r="L637" s="1" t="s">
        <v>1440</v>
      </c>
      <c r="M637" s="1" t="s">
        <v>5789</v>
      </c>
      <c r="N637" s="1" t="s">
        <v>5800</v>
      </c>
      <c r="O637" s="1" t="s">
        <v>5801</v>
      </c>
      <c r="P637" s="1" t="s">
        <v>5802</v>
      </c>
      <c r="Q637" s="3">
        <v>1</v>
      </c>
      <c r="S637" s="23" t="s">
        <v>5949</v>
      </c>
      <c r="T637" s="23" t="s">
        <v>4931</v>
      </c>
      <c r="U637" s="3">
        <v>34</v>
      </c>
      <c r="W637" s="45" t="str">
        <f>HYPERLINK("http://ictvonline.org/taxonomy/p/taxonomy-history?taxnode_id=201851841","ICTVonline=201851841")</f>
        <v>ICTVonline=201851841</v>
      </c>
      <c r="AA637" s="1">
        <v>201850000</v>
      </c>
      <c r="AB637" s="1">
        <v>34</v>
      </c>
    </row>
    <row r="638" spans="1:28" x14ac:dyDescent="0.15">
      <c r="A638" s="1">
        <v>1657</v>
      </c>
      <c r="B638" s="1" t="s">
        <v>7159</v>
      </c>
      <c r="J638" s="1" t="s">
        <v>1439</v>
      </c>
      <c r="K638" s="1" t="s">
        <v>5779</v>
      </c>
      <c r="L638" s="1" t="s">
        <v>1440</v>
      </c>
      <c r="M638" s="1" t="s">
        <v>5789</v>
      </c>
      <c r="N638" s="1" t="s">
        <v>5805</v>
      </c>
      <c r="O638" s="1" t="s">
        <v>5814</v>
      </c>
      <c r="P638" s="1" t="s">
        <v>5815</v>
      </c>
      <c r="Q638" s="3">
        <v>0</v>
      </c>
      <c r="S638" s="23" t="s">
        <v>5949</v>
      </c>
      <c r="T638" s="23" t="s">
        <v>4931</v>
      </c>
      <c r="U638" s="3">
        <v>34</v>
      </c>
      <c r="W638" s="45" t="str">
        <f>HYPERLINK("http://ictvonline.org/taxonomy/p/taxonomy-history?taxnode_id=201851838","ICTVonline=201851838")</f>
        <v>ICTVonline=201851838</v>
      </c>
      <c r="AA638" s="1">
        <v>201850000</v>
      </c>
      <c r="AB638" s="1">
        <v>34</v>
      </c>
    </row>
    <row r="639" spans="1:28" x14ac:dyDescent="0.15">
      <c r="A639" s="1">
        <v>1661</v>
      </c>
      <c r="B639" s="1" t="s">
        <v>7159</v>
      </c>
      <c r="J639" s="1" t="s">
        <v>1439</v>
      </c>
      <c r="K639" s="1" t="s">
        <v>5779</v>
      </c>
      <c r="L639" s="1" t="s">
        <v>1440</v>
      </c>
      <c r="M639" s="1" t="s">
        <v>5789</v>
      </c>
      <c r="N639" s="1" t="s">
        <v>5805</v>
      </c>
      <c r="O639" s="1" t="s">
        <v>5806</v>
      </c>
      <c r="P639" s="1" t="s">
        <v>5807</v>
      </c>
      <c r="Q639" s="3">
        <v>1</v>
      </c>
      <c r="S639" s="23" t="s">
        <v>5949</v>
      </c>
      <c r="T639" s="23" t="s">
        <v>4931</v>
      </c>
      <c r="U639" s="3">
        <v>34</v>
      </c>
      <c r="W639" s="45" t="str">
        <f>HYPERLINK("http://ictvonline.org/taxonomy/p/taxonomy-history?taxnode_id=201851842","ICTVonline=201851842")</f>
        <v>ICTVonline=201851842</v>
      </c>
      <c r="AA639" s="1">
        <v>201850000</v>
      </c>
      <c r="AB639" s="1">
        <v>34</v>
      </c>
    </row>
    <row r="640" spans="1:28" x14ac:dyDescent="0.15">
      <c r="A640" s="1">
        <v>1666</v>
      </c>
      <c r="B640" s="1" t="s">
        <v>7159</v>
      </c>
      <c r="J640" s="1" t="s">
        <v>1439</v>
      </c>
      <c r="K640" s="1" t="s">
        <v>5779</v>
      </c>
      <c r="L640" s="1" t="s">
        <v>1440</v>
      </c>
      <c r="M640" s="1" t="s">
        <v>5789</v>
      </c>
      <c r="N640" s="1" t="s">
        <v>5821</v>
      </c>
      <c r="P640" s="1" t="s">
        <v>5822</v>
      </c>
      <c r="Q640" s="3">
        <v>1</v>
      </c>
      <c r="S640" s="23" t="s">
        <v>5949</v>
      </c>
      <c r="T640" s="23" t="s">
        <v>4931</v>
      </c>
      <c r="U640" s="3">
        <v>34</v>
      </c>
      <c r="W640" s="45" t="str">
        <f>HYPERLINK("http://ictvonline.org/taxonomy/p/taxonomy-history?taxnode_id=201851839","ICTVonline=201851839")</f>
        <v>ICTVonline=201851839</v>
      </c>
      <c r="AA640" s="1">
        <v>201850000</v>
      </c>
      <c r="AB640" s="1">
        <v>34</v>
      </c>
    </row>
    <row r="641" spans="1:28" x14ac:dyDescent="0.15">
      <c r="A641" s="1">
        <v>1673</v>
      </c>
      <c r="B641" s="1" t="s">
        <v>7159</v>
      </c>
      <c r="J641" s="1" t="s">
        <v>1439</v>
      </c>
      <c r="K641" s="1" t="s">
        <v>5779</v>
      </c>
      <c r="L641" s="1" t="s">
        <v>1440</v>
      </c>
      <c r="M641" s="1" t="s">
        <v>5808</v>
      </c>
      <c r="N641" s="1" t="s">
        <v>5809</v>
      </c>
      <c r="O641" s="1" t="s">
        <v>5810</v>
      </c>
      <c r="P641" s="1" t="s">
        <v>5811</v>
      </c>
      <c r="Q641" s="3">
        <v>0</v>
      </c>
      <c r="S641" s="23" t="s">
        <v>5949</v>
      </c>
      <c r="T641" s="23" t="s">
        <v>4931</v>
      </c>
      <c r="U641" s="3">
        <v>34</v>
      </c>
      <c r="W641" s="45" t="str">
        <f>HYPERLINK("http://ictvonline.org/taxonomy/p/taxonomy-history?taxnode_id=201851833","ICTVonline=201851833")</f>
        <v>ICTVonline=201851833</v>
      </c>
      <c r="AA641" s="1">
        <v>201850000</v>
      </c>
      <c r="AB641" s="1">
        <v>34</v>
      </c>
    </row>
    <row r="642" spans="1:28" x14ac:dyDescent="0.15">
      <c r="A642" s="1">
        <v>1677</v>
      </c>
      <c r="B642" s="1" t="s">
        <v>7159</v>
      </c>
      <c r="J642" s="1" t="s">
        <v>1439</v>
      </c>
      <c r="K642" s="1" t="s">
        <v>5779</v>
      </c>
      <c r="L642" s="1" t="s">
        <v>1440</v>
      </c>
      <c r="M642" s="1" t="s">
        <v>5808</v>
      </c>
      <c r="N642" s="1" t="s">
        <v>5809</v>
      </c>
      <c r="O642" s="1" t="s">
        <v>5828</v>
      </c>
      <c r="P642" s="1" t="s">
        <v>5829</v>
      </c>
      <c r="Q642" s="3">
        <v>0</v>
      </c>
      <c r="S642" s="23" t="s">
        <v>5949</v>
      </c>
      <c r="T642" s="23" t="s">
        <v>4931</v>
      </c>
      <c r="U642" s="3">
        <v>34</v>
      </c>
      <c r="W642" s="45" t="str">
        <f>HYPERLINK("http://ictvonline.org/taxonomy/p/taxonomy-history?taxnode_id=201851834","ICTVonline=201851834")</f>
        <v>ICTVonline=201851834</v>
      </c>
      <c r="AA642" s="1">
        <v>201850000</v>
      </c>
      <c r="AB642" s="1">
        <v>34</v>
      </c>
    </row>
    <row r="643" spans="1:28" x14ac:dyDescent="0.15">
      <c r="A643" s="1">
        <v>1679</v>
      </c>
      <c r="B643" s="1" t="s">
        <v>7159</v>
      </c>
      <c r="J643" s="1" t="s">
        <v>1439</v>
      </c>
      <c r="K643" s="1" t="s">
        <v>5779</v>
      </c>
      <c r="L643" s="1" t="s">
        <v>1440</v>
      </c>
      <c r="M643" s="1" t="s">
        <v>5808</v>
      </c>
      <c r="N643" s="1" t="s">
        <v>5809</v>
      </c>
      <c r="O643" s="1" t="s">
        <v>5828</v>
      </c>
      <c r="P643" s="1" t="s">
        <v>5830</v>
      </c>
      <c r="Q643" s="3">
        <v>0</v>
      </c>
      <c r="S643" s="23" t="s">
        <v>5949</v>
      </c>
      <c r="T643" s="23" t="s">
        <v>4931</v>
      </c>
      <c r="U643" s="3">
        <v>34</v>
      </c>
      <c r="W643" s="45" t="str">
        <f>HYPERLINK("http://ictvonline.org/taxonomy/p/taxonomy-history?taxnode_id=201856090","ICTVonline=201856090")</f>
        <v>ICTVonline=201856090</v>
      </c>
      <c r="AA643" s="1">
        <v>201850000</v>
      </c>
      <c r="AB643" s="1">
        <v>34</v>
      </c>
    </row>
    <row r="644" spans="1:28" x14ac:dyDescent="0.15">
      <c r="A644" s="1">
        <v>1683</v>
      </c>
      <c r="B644" s="1" t="s">
        <v>7159</v>
      </c>
      <c r="J644" s="1" t="s">
        <v>1439</v>
      </c>
      <c r="K644" s="1" t="s">
        <v>5779</v>
      </c>
      <c r="L644" s="1" t="s">
        <v>1440</v>
      </c>
      <c r="M644" s="1" t="s">
        <v>5808</v>
      </c>
      <c r="N644" s="1" t="s">
        <v>5809</v>
      </c>
      <c r="O644" s="1" t="s">
        <v>5833</v>
      </c>
      <c r="P644" s="1" t="s">
        <v>5834</v>
      </c>
      <c r="Q644" s="3">
        <v>1</v>
      </c>
      <c r="S644" s="23" t="s">
        <v>5949</v>
      </c>
      <c r="T644" s="23" t="s">
        <v>4931</v>
      </c>
      <c r="U644" s="3">
        <v>34</v>
      </c>
      <c r="W644" s="45" t="str">
        <f>HYPERLINK("http://ictvonline.org/taxonomy/p/taxonomy-history?taxnode_id=201851832","ICTVonline=201851832")</f>
        <v>ICTVonline=201851832</v>
      </c>
      <c r="AA644" s="1">
        <v>201850000</v>
      </c>
      <c r="AB644" s="1">
        <v>34</v>
      </c>
    </row>
    <row r="645" spans="1:28" x14ac:dyDescent="0.15">
      <c r="A645" s="1">
        <v>1688</v>
      </c>
      <c r="B645" s="1" t="s">
        <v>7159</v>
      </c>
      <c r="J645" s="1" t="s">
        <v>1439</v>
      </c>
      <c r="K645" s="1" t="s">
        <v>5779</v>
      </c>
      <c r="L645" s="1" t="s">
        <v>1440</v>
      </c>
      <c r="M645" s="1" t="s">
        <v>5808</v>
      </c>
      <c r="N645" s="1" t="s">
        <v>5816</v>
      </c>
      <c r="P645" s="1" t="s">
        <v>5817</v>
      </c>
      <c r="Q645" s="3">
        <v>1</v>
      </c>
      <c r="S645" s="23" t="s">
        <v>5949</v>
      </c>
      <c r="T645" s="23" t="s">
        <v>4931</v>
      </c>
      <c r="U645" s="3">
        <v>34</v>
      </c>
      <c r="W645" s="45" t="str">
        <f>HYPERLINK("http://ictvonline.org/taxonomy/p/taxonomy-history?taxnode_id=201851831","ICTVonline=201851831")</f>
        <v>ICTVonline=201851831</v>
      </c>
      <c r="AA645" s="1">
        <v>201850000</v>
      </c>
      <c r="AB645" s="1">
        <v>34</v>
      </c>
    </row>
    <row r="646" spans="1:28" x14ac:dyDescent="0.15">
      <c r="A646" s="1">
        <v>1694</v>
      </c>
      <c r="B646" s="1" t="s">
        <v>7159</v>
      </c>
      <c r="J646" s="1" t="s">
        <v>1439</v>
      </c>
      <c r="K646" s="1" t="s">
        <v>5779</v>
      </c>
      <c r="L646" s="1" t="s">
        <v>1440</v>
      </c>
      <c r="M646" s="1" t="s">
        <v>5818</v>
      </c>
      <c r="N646" s="1" t="s">
        <v>5819</v>
      </c>
      <c r="P646" s="1" t="s">
        <v>5820</v>
      </c>
      <c r="Q646" s="3">
        <v>1</v>
      </c>
      <c r="S646" s="23" t="s">
        <v>5949</v>
      </c>
      <c r="T646" s="23" t="s">
        <v>4931</v>
      </c>
      <c r="U646" s="3">
        <v>34</v>
      </c>
      <c r="W646" s="45" t="str">
        <f>HYPERLINK("http://ictvonline.org/taxonomy/p/taxonomy-history?taxnode_id=201851825","ICTVonline=201851825")</f>
        <v>ICTVonline=201851825</v>
      </c>
      <c r="AA646" s="1">
        <v>201850000</v>
      </c>
      <c r="AB646" s="1">
        <v>34</v>
      </c>
    </row>
    <row r="647" spans="1:28" x14ac:dyDescent="0.15">
      <c r="A647" s="1">
        <v>1705</v>
      </c>
      <c r="B647" s="1" t="s">
        <v>7159</v>
      </c>
      <c r="J647" s="1" t="s">
        <v>1439</v>
      </c>
      <c r="K647" s="1" t="s">
        <v>5823</v>
      </c>
      <c r="L647" s="1" t="s">
        <v>1383</v>
      </c>
      <c r="M647" s="1" t="s">
        <v>5824</v>
      </c>
      <c r="N647" s="1" t="s">
        <v>5825</v>
      </c>
      <c r="O647" s="1" t="s">
        <v>5826</v>
      </c>
      <c r="P647" s="1" t="s">
        <v>5827</v>
      </c>
      <c r="Q647" s="3">
        <v>1</v>
      </c>
      <c r="S647" s="23" t="s">
        <v>5949</v>
      </c>
      <c r="T647" s="23" t="s">
        <v>4931</v>
      </c>
      <c r="U647" s="3">
        <v>34</v>
      </c>
      <c r="W647" s="45" t="str">
        <f>HYPERLINK("http://ictvonline.org/taxonomy/p/taxonomy-history?taxnode_id=201856140","ICTVonline=201856140")</f>
        <v>ICTVonline=201856140</v>
      </c>
      <c r="AA647" s="1">
        <v>201850000</v>
      </c>
      <c r="AB647" s="1">
        <v>34</v>
      </c>
    </row>
    <row r="648" spans="1:28" x14ac:dyDescent="0.15">
      <c r="A648" s="1">
        <v>1713</v>
      </c>
      <c r="B648" s="1" t="s">
        <v>7159</v>
      </c>
      <c r="J648" s="1" t="s">
        <v>1439</v>
      </c>
      <c r="K648" s="1" t="s">
        <v>5823</v>
      </c>
      <c r="L648" s="1" t="s">
        <v>1383</v>
      </c>
      <c r="M648" s="1" t="s">
        <v>5831</v>
      </c>
      <c r="N648" s="1" t="s">
        <v>1841</v>
      </c>
      <c r="O648" s="1" t="s">
        <v>5832</v>
      </c>
      <c r="P648" s="1" t="s">
        <v>3624</v>
      </c>
      <c r="Q648" s="3">
        <v>0</v>
      </c>
      <c r="S648" s="23" t="s">
        <v>5949</v>
      </c>
      <c r="T648" s="23" t="s">
        <v>4931</v>
      </c>
      <c r="U648" s="3">
        <v>34</v>
      </c>
      <c r="W648" s="45" t="str">
        <f>HYPERLINK("http://ictvonline.org/taxonomy/p/taxonomy-history?taxnode_id=201851850","ICTVonline=201851850")</f>
        <v>ICTVonline=201851850</v>
      </c>
      <c r="AA648" s="1">
        <v>201850000</v>
      </c>
      <c r="AB648" s="1">
        <v>34</v>
      </c>
    </row>
    <row r="649" spans="1:28" x14ac:dyDescent="0.15">
      <c r="A649" s="1">
        <v>1717</v>
      </c>
      <c r="B649" s="1" t="s">
        <v>7159</v>
      </c>
      <c r="J649" s="1" t="s">
        <v>1439</v>
      </c>
      <c r="K649" s="1" t="s">
        <v>5823</v>
      </c>
      <c r="L649" s="1" t="s">
        <v>1383</v>
      </c>
      <c r="M649" s="1" t="s">
        <v>5831</v>
      </c>
      <c r="N649" s="1" t="s">
        <v>1841</v>
      </c>
      <c r="O649" s="1" t="s">
        <v>5843</v>
      </c>
      <c r="P649" s="1" t="s">
        <v>3625</v>
      </c>
      <c r="Q649" s="3">
        <v>0</v>
      </c>
      <c r="S649" s="23" t="s">
        <v>5949</v>
      </c>
      <c r="T649" s="23" t="s">
        <v>4931</v>
      </c>
      <c r="U649" s="3">
        <v>34</v>
      </c>
      <c r="W649" s="45" t="str">
        <f>HYPERLINK("http://ictvonline.org/taxonomy/p/taxonomy-history?taxnode_id=201851851","ICTVonline=201851851")</f>
        <v>ICTVonline=201851851</v>
      </c>
      <c r="AA649" s="1">
        <v>201850000</v>
      </c>
      <c r="AB649" s="1">
        <v>34</v>
      </c>
    </row>
    <row r="650" spans="1:28" x14ac:dyDescent="0.15">
      <c r="A650" s="1">
        <v>1719</v>
      </c>
      <c r="B650" s="1" t="s">
        <v>7159</v>
      </c>
      <c r="J650" s="1" t="s">
        <v>1439</v>
      </c>
      <c r="K650" s="1" t="s">
        <v>5823</v>
      </c>
      <c r="L650" s="1" t="s">
        <v>1383</v>
      </c>
      <c r="M650" s="1" t="s">
        <v>5831</v>
      </c>
      <c r="N650" s="1" t="s">
        <v>1841</v>
      </c>
      <c r="O650" s="1" t="s">
        <v>5843</v>
      </c>
      <c r="P650" s="1" t="s">
        <v>5844</v>
      </c>
      <c r="Q650" s="3">
        <v>0</v>
      </c>
      <c r="S650" s="23" t="s">
        <v>5949</v>
      </c>
      <c r="T650" s="23" t="s">
        <v>4931</v>
      </c>
      <c r="U650" s="3">
        <v>34</v>
      </c>
      <c r="W650" s="45" t="str">
        <f>HYPERLINK("http://ictvonline.org/taxonomy/p/taxonomy-history?taxnode_id=201856109","ICTVonline=201856109")</f>
        <v>ICTVonline=201856109</v>
      </c>
      <c r="AA650" s="1">
        <v>201850000</v>
      </c>
      <c r="AB650" s="1">
        <v>34</v>
      </c>
    </row>
    <row r="651" spans="1:28" x14ac:dyDescent="0.15">
      <c r="A651" s="1">
        <v>1723</v>
      </c>
      <c r="B651" s="1" t="s">
        <v>7159</v>
      </c>
      <c r="J651" s="1" t="s">
        <v>1439</v>
      </c>
      <c r="K651" s="1" t="s">
        <v>5823</v>
      </c>
      <c r="L651" s="1" t="s">
        <v>1383</v>
      </c>
      <c r="M651" s="1" t="s">
        <v>5831</v>
      </c>
      <c r="N651" s="1" t="s">
        <v>1841</v>
      </c>
      <c r="O651" s="1" t="s">
        <v>5846</v>
      </c>
      <c r="P651" s="1" t="s">
        <v>1384</v>
      </c>
      <c r="Q651" s="3">
        <v>0</v>
      </c>
      <c r="S651" s="23" t="s">
        <v>5949</v>
      </c>
      <c r="T651" s="23" t="s">
        <v>4931</v>
      </c>
      <c r="U651" s="3">
        <v>34</v>
      </c>
      <c r="W651" s="45" t="str">
        <f>HYPERLINK("http://ictvonline.org/taxonomy/p/taxonomy-history?taxnode_id=201851852","ICTVonline=201851852")</f>
        <v>ICTVonline=201851852</v>
      </c>
      <c r="AA651" s="1">
        <v>201850000</v>
      </c>
      <c r="AB651" s="1">
        <v>34</v>
      </c>
    </row>
    <row r="652" spans="1:28" x14ac:dyDescent="0.15">
      <c r="A652" s="1">
        <v>1727</v>
      </c>
      <c r="B652" s="1" t="s">
        <v>7159</v>
      </c>
      <c r="J652" s="1" t="s">
        <v>1439</v>
      </c>
      <c r="K652" s="1" t="s">
        <v>5823</v>
      </c>
      <c r="L652" s="1" t="s">
        <v>1383</v>
      </c>
      <c r="M652" s="1" t="s">
        <v>5831</v>
      </c>
      <c r="N652" s="1" t="s">
        <v>1841</v>
      </c>
      <c r="O652" s="1" t="s">
        <v>5835</v>
      </c>
      <c r="P652" s="1" t="s">
        <v>5836</v>
      </c>
      <c r="Q652" s="3">
        <v>0</v>
      </c>
      <c r="S652" s="23" t="s">
        <v>5949</v>
      </c>
      <c r="T652" s="23" t="s">
        <v>4931</v>
      </c>
      <c r="U652" s="3">
        <v>34</v>
      </c>
      <c r="W652" s="45" t="str">
        <f>HYPERLINK("http://ictvonline.org/taxonomy/p/taxonomy-history?taxnode_id=201856122","ICTVonline=201856122")</f>
        <v>ICTVonline=201856122</v>
      </c>
      <c r="AA652" s="1">
        <v>201850000</v>
      </c>
      <c r="AB652" s="1">
        <v>34</v>
      </c>
    </row>
    <row r="653" spans="1:28" x14ac:dyDescent="0.15">
      <c r="A653" s="1">
        <v>1731</v>
      </c>
      <c r="B653" s="1" t="s">
        <v>7159</v>
      </c>
      <c r="J653" s="1" t="s">
        <v>1439</v>
      </c>
      <c r="K653" s="1" t="s">
        <v>5823</v>
      </c>
      <c r="L653" s="1" t="s">
        <v>1383</v>
      </c>
      <c r="M653" s="1" t="s">
        <v>5831</v>
      </c>
      <c r="N653" s="1" t="s">
        <v>1841</v>
      </c>
      <c r="O653" s="1" t="s">
        <v>5837</v>
      </c>
      <c r="P653" s="1" t="s">
        <v>5838</v>
      </c>
      <c r="Q653" s="3">
        <v>0</v>
      </c>
      <c r="S653" s="23" t="s">
        <v>5949</v>
      </c>
      <c r="T653" s="23" t="s">
        <v>4931</v>
      </c>
      <c r="U653" s="3">
        <v>34</v>
      </c>
      <c r="W653" s="45" t="str">
        <f>HYPERLINK("http://ictvonline.org/taxonomy/p/taxonomy-history?taxnode_id=201856115","ICTVonline=201856115")</f>
        <v>ICTVonline=201856115</v>
      </c>
      <c r="AA653" s="1">
        <v>201850000</v>
      </c>
      <c r="AB653" s="1">
        <v>34</v>
      </c>
    </row>
    <row r="654" spans="1:28" x14ac:dyDescent="0.15">
      <c r="A654" s="1">
        <v>1733</v>
      </c>
      <c r="B654" s="1" t="s">
        <v>7159</v>
      </c>
      <c r="J654" s="1" t="s">
        <v>1439</v>
      </c>
      <c r="K654" s="1" t="s">
        <v>5823</v>
      </c>
      <c r="L654" s="1" t="s">
        <v>1383</v>
      </c>
      <c r="M654" s="1" t="s">
        <v>5831</v>
      </c>
      <c r="N654" s="1" t="s">
        <v>1841</v>
      </c>
      <c r="O654" s="1" t="s">
        <v>5837</v>
      </c>
      <c r="P654" s="1" t="s">
        <v>3626</v>
      </c>
      <c r="Q654" s="3">
        <v>0</v>
      </c>
      <c r="S654" s="23" t="s">
        <v>5949</v>
      </c>
      <c r="T654" s="23" t="s">
        <v>4931</v>
      </c>
      <c r="U654" s="3">
        <v>34</v>
      </c>
      <c r="W654" s="45" t="str">
        <f>HYPERLINK("http://ictvonline.org/taxonomy/p/taxonomy-history?taxnode_id=201851856","ICTVonline=201851856")</f>
        <v>ICTVonline=201851856</v>
      </c>
      <c r="AA654" s="1">
        <v>201850000</v>
      </c>
      <c r="AB654" s="1">
        <v>34</v>
      </c>
    </row>
    <row r="655" spans="1:28" x14ac:dyDescent="0.15">
      <c r="A655" s="1">
        <v>1737</v>
      </c>
      <c r="B655" s="1" t="s">
        <v>7159</v>
      </c>
      <c r="J655" s="1" t="s">
        <v>1439</v>
      </c>
      <c r="K655" s="1" t="s">
        <v>5823</v>
      </c>
      <c r="L655" s="1" t="s">
        <v>1383</v>
      </c>
      <c r="M655" s="1" t="s">
        <v>5831</v>
      </c>
      <c r="N655" s="1" t="s">
        <v>1841</v>
      </c>
      <c r="O655" s="1" t="s">
        <v>5850</v>
      </c>
      <c r="P655" s="1" t="s">
        <v>567</v>
      </c>
      <c r="Q655" s="3">
        <v>0</v>
      </c>
      <c r="S655" s="23" t="s">
        <v>5949</v>
      </c>
      <c r="T655" s="23" t="s">
        <v>4931</v>
      </c>
      <c r="U655" s="3">
        <v>34</v>
      </c>
      <c r="W655" s="45" t="str">
        <f>HYPERLINK("http://ictvonline.org/taxonomy/p/taxonomy-history?taxnode_id=201851854","ICTVonline=201851854")</f>
        <v>ICTVonline=201851854</v>
      </c>
      <c r="AA655" s="1">
        <v>201850000</v>
      </c>
      <c r="AB655" s="1">
        <v>34</v>
      </c>
    </row>
    <row r="656" spans="1:28" x14ac:dyDescent="0.15">
      <c r="A656" s="1">
        <v>1739</v>
      </c>
      <c r="B656" s="1" t="s">
        <v>7159</v>
      </c>
      <c r="J656" s="1" t="s">
        <v>1439</v>
      </c>
      <c r="K656" s="1" t="s">
        <v>5823</v>
      </c>
      <c r="L656" s="1" t="s">
        <v>1383</v>
      </c>
      <c r="M656" s="1" t="s">
        <v>5831</v>
      </c>
      <c r="N656" s="1" t="s">
        <v>1841</v>
      </c>
      <c r="O656" s="1" t="s">
        <v>5850</v>
      </c>
      <c r="P656" s="1" t="s">
        <v>568</v>
      </c>
      <c r="Q656" s="3">
        <v>0</v>
      </c>
      <c r="S656" s="23" t="s">
        <v>5949</v>
      </c>
      <c r="T656" s="23" t="s">
        <v>4931</v>
      </c>
      <c r="U656" s="3">
        <v>34</v>
      </c>
      <c r="W656" s="45" t="str">
        <f>HYPERLINK("http://ictvonline.org/taxonomy/p/taxonomy-history?taxnode_id=201851855","ICTVonline=201851855")</f>
        <v>ICTVonline=201851855</v>
      </c>
      <c r="AA656" s="1">
        <v>201850000</v>
      </c>
      <c r="AB656" s="1">
        <v>34</v>
      </c>
    </row>
    <row r="657" spans="1:28" x14ac:dyDescent="0.15">
      <c r="A657" s="1">
        <v>1743</v>
      </c>
      <c r="B657" s="1" t="s">
        <v>7159</v>
      </c>
      <c r="J657" s="1" t="s">
        <v>1439</v>
      </c>
      <c r="K657" s="1" t="s">
        <v>5823</v>
      </c>
      <c r="L657" s="1" t="s">
        <v>1383</v>
      </c>
      <c r="M657" s="1" t="s">
        <v>5831</v>
      </c>
      <c r="N657" s="1" t="s">
        <v>1841</v>
      </c>
      <c r="O657" s="1" t="s">
        <v>5839</v>
      </c>
      <c r="P657" s="1" t="s">
        <v>5840</v>
      </c>
      <c r="Q657" s="3">
        <v>0</v>
      </c>
      <c r="S657" s="23" t="s">
        <v>5949</v>
      </c>
      <c r="T657" s="23" t="s">
        <v>4931</v>
      </c>
      <c r="U657" s="3">
        <v>34</v>
      </c>
      <c r="W657" s="45" t="str">
        <f>HYPERLINK("http://ictvonline.org/taxonomy/p/taxonomy-history?taxnode_id=201856119","ICTVonline=201856119")</f>
        <v>ICTVonline=201856119</v>
      </c>
      <c r="AA657" s="1">
        <v>201850000</v>
      </c>
      <c r="AB657" s="1">
        <v>34</v>
      </c>
    </row>
    <row r="658" spans="1:28" x14ac:dyDescent="0.15">
      <c r="A658" s="1">
        <v>1747</v>
      </c>
      <c r="B658" s="1" t="s">
        <v>7159</v>
      </c>
      <c r="J658" s="1" t="s">
        <v>1439</v>
      </c>
      <c r="K658" s="1" t="s">
        <v>5823</v>
      </c>
      <c r="L658" s="1" t="s">
        <v>1383</v>
      </c>
      <c r="M658" s="1" t="s">
        <v>5831</v>
      </c>
      <c r="N658" s="1" t="s">
        <v>1841</v>
      </c>
      <c r="O658" s="1" t="s">
        <v>5841</v>
      </c>
      <c r="P658" s="1" t="s">
        <v>5842</v>
      </c>
      <c r="Q658" s="3">
        <v>0</v>
      </c>
      <c r="S658" s="23" t="s">
        <v>5949</v>
      </c>
      <c r="T658" s="23" t="s">
        <v>4931</v>
      </c>
      <c r="U658" s="3">
        <v>34</v>
      </c>
      <c r="W658" s="45" t="str">
        <f>HYPERLINK("http://ictvonline.org/taxonomy/p/taxonomy-history?taxnode_id=201856120","ICTVonline=201856120")</f>
        <v>ICTVonline=201856120</v>
      </c>
      <c r="AA658" s="1">
        <v>201850000</v>
      </c>
      <c r="AB658" s="1">
        <v>34</v>
      </c>
    </row>
    <row r="659" spans="1:28" x14ac:dyDescent="0.15">
      <c r="A659" s="1">
        <v>1751</v>
      </c>
      <c r="B659" s="1" t="s">
        <v>7159</v>
      </c>
      <c r="J659" s="1" t="s">
        <v>1439</v>
      </c>
      <c r="K659" s="1" t="s">
        <v>5823</v>
      </c>
      <c r="L659" s="1" t="s">
        <v>1383</v>
      </c>
      <c r="M659" s="1" t="s">
        <v>5831</v>
      </c>
      <c r="N659" s="1" t="s">
        <v>1841</v>
      </c>
      <c r="O659" s="1" t="s">
        <v>5845</v>
      </c>
      <c r="P659" s="1" t="s">
        <v>1067</v>
      </c>
      <c r="Q659" s="3">
        <v>0</v>
      </c>
      <c r="S659" s="23" t="s">
        <v>5949</v>
      </c>
      <c r="T659" s="23" t="s">
        <v>4931</v>
      </c>
      <c r="U659" s="3">
        <v>34</v>
      </c>
      <c r="W659" s="45" t="str">
        <f>HYPERLINK("http://ictvonline.org/taxonomy/p/taxonomy-history?taxnode_id=201851857","ICTVonline=201851857")</f>
        <v>ICTVonline=201851857</v>
      </c>
      <c r="AA659" s="1">
        <v>201850000</v>
      </c>
      <c r="AB659" s="1">
        <v>34</v>
      </c>
    </row>
    <row r="660" spans="1:28" x14ac:dyDescent="0.15">
      <c r="A660" s="1">
        <v>1753</v>
      </c>
      <c r="B660" s="1" t="s">
        <v>7159</v>
      </c>
      <c r="J660" s="1" t="s">
        <v>1439</v>
      </c>
      <c r="K660" s="1" t="s">
        <v>5823</v>
      </c>
      <c r="L660" s="1" t="s">
        <v>1383</v>
      </c>
      <c r="M660" s="1" t="s">
        <v>5831</v>
      </c>
      <c r="N660" s="1" t="s">
        <v>1841</v>
      </c>
      <c r="O660" s="1" t="s">
        <v>5845</v>
      </c>
      <c r="P660" s="1" t="s">
        <v>570</v>
      </c>
      <c r="Q660" s="3">
        <v>0</v>
      </c>
      <c r="S660" s="23" t="s">
        <v>5949</v>
      </c>
      <c r="T660" s="23" t="s">
        <v>4931</v>
      </c>
      <c r="U660" s="3">
        <v>34</v>
      </c>
      <c r="W660" s="45" t="str">
        <f>HYPERLINK("http://ictvonline.org/taxonomy/p/taxonomy-history?taxnode_id=201851859","ICTVonline=201851859")</f>
        <v>ICTVonline=201851859</v>
      </c>
      <c r="AA660" s="1">
        <v>201850000</v>
      </c>
      <c r="AB660" s="1">
        <v>34</v>
      </c>
    </row>
    <row r="661" spans="1:28" x14ac:dyDescent="0.15">
      <c r="A661" s="1">
        <v>1757</v>
      </c>
      <c r="B661" s="1" t="s">
        <v>7159</v>
      </c>
      <c r="J661" s="1" t="s">
        <v>1439</v>
      </c>
      <c r="K661" s="1" t="s">
        <v>5823</v>
      </c>
      <c r="L661" s="1" t="s">
        <v>1383</v>
      </c>
      <c r="M661" s="1" t="s">
        <v>5831</v>
      </c>
      <c r="N661" s="1" t="s">
        <v>1841</v>
      </c>
      <c r="O661" s="1" t="s">
        <v>5847</v>
      </c>
      <c r="P661" s="1" t="s">
        <v>569</v>
      </c>
      <c r="Q661" s="3">
        <v>0</v>
      </c>
      <c r="S661" s="23" t="s">
        <v>5949</v>
      </c>
      <c r="T661" s="23" t="s">
        <v>4931</v>
      </c>
      <c r="U661" s="3">
        <v>34</v>
      </c>
      <c r="W661" s="45" t="str">
        <f>HYPERLINK("http://ictvonline.org/taxonomy/p/taxonomy-history?taxnode_id=201851858","ICTVonline=201851858")</f>
        <v>ICTVonline=201851858</v>
      </c>
      <c r="AA661" s="1">
        <v>201850000</v>
      </c>
      <c r="AB661" s="1">
        <v>34</v>
      </c>
    </row>
    <row r="662" spans="1:28" x14ac:dyDescent="0.15">
      <c r="A662" s="1">
        <v>1761</v>
      </c>
      <c r="B662" s="1" t="s">
        <v>7159</v>
      </c>
      <c r="J662" s="1" t="s">
        <v>1439</v>
      </c>
      <c r="K662" s="1" t="s">
        <v>5823</v>
      </c>
      <c r="L662" s="1" t="s">
        <v>1383</v>
      </c>
      <c r="M662" s="1" t="s">
        <v>5831</v>
      </c>
      <c r="N662" s="1" t="s">
        <v>1841</v>
      </c>
      <c r="O662" s="1" t="s">
        <v>5848</v>
      </c>
      <c r="P662" s="1" t="s">
        <v>1066</v>
      </c>
      <c r="Q662" s="3">
        <v>0</v>
      </c>
      <c r="S662" s="23" t="s">
        <v>5949</v>
      </c>
      <c r="T662" s="23" t="s">
        <v>4931</v>
      </c>
      <c r="U662" s="3">
        <v>34</v>
      </c>
      <c r="W662" s="45" t="str">
        <f>HYPERLINK("http://ictvonline.org/taxonomy/p/taxonomy-history?taxnode_id=201851853","ICTVonline=201851853")</f>
        <v>ICTVonline=201851853</v>
      </c>
      <c r="AA662" s="1">
        <v>201850000</v>
      </c>
      <c r="AB662" s="1">
        <v>34</v>
      </c>
    </row>
    <row r="663" spans="1:28" x14ac:dyDescent="0.15">
      <c r="A663" s="1">
        <v>1763</v>
      </c>
      <c r="B663" s="1" t="s">
        <v>7159</v>
      </c>
      <c r="J663" s="1" t="s">
        <v>1439</v>
      </c>
      <c r="K663" s="1" t="s">
        <v>5823</v>
      </c>
      <c r="L663" s="1" t="s">
        <v>1383</v>
      </c>
      <c r="M663" s="1" t="s">
        <v>5831</v>
      </c>
      <c r="N663" s="1" t="s">
        <v>1841</v>
      </c>
      <c r="O663" s="1" t="s">
        <v>5848</v>
      </c>
      <c r="P663" s="1" t="s">
        <v>5849</v>
      </c>
      <c r="Q663" s="3">
        <v>0</v>
      </c>
      <c r="S663" s="23" t="s">
        <v>5949</v>
      </c>
      <c r="T663" s="23" t="s">
        <v>4931</v>
      </c>
      <c r="U663" s="3">
        <v>34</v>
      </c>
      <c r="W663" s="45" t="str">
        <f>HYPERLINK("http://ictvonline.org/taxonomy/p/taxonomy-history?taxnode_id=201856112","ICTVonline=201856112")</f>
        <v>ICTVonline=201856112</v>
      </c>
      <c r="AA663" s="1">
        <v>201850000</v>
      </c>
      <c r="AB663" s="1">
        <v>34</v>
      </c>
    </row>
    <row r="664" spans="1:28" x14ac:dyDescent="0.15">
      <c r="A664" s="1">
        <v>1767</v>
      </c>
      <c r="B664" s="1" t="s">
        <v>7159</v>
      </c>
      <c r="J664" s="1" t="s">
        <v>1439</v>
      </c>
      <c r="K664" s="1" t="s">
        <v>5823</v>
      </c>
      <c r="L664" s="1" t="s">
        <v>1383</v>
      </c>
      <c r="M664" s="1" t="s">
        <v>5831</v>
      </c>
      <c r="N664" s="1" t="s">
        <v>1841</v>
      </c>
      <c r="O664" s="1" t="s">
        <v>5851</v>
      </c>
      <c r="P664" s="1" t="s">
        <v>1842</v>
      </c>
      <c r="Q664" s="3">
        <v>1</v>
      </c>
      <c r="S664" s="23" t="s">
        <v>5949</v>
      </c>
      <c r="T664" s="23" t="s">
        <v>4931</v>
      </c>
      <c r="U664" s="3">
        <v>34</v>
      </c>
      <c r="W664" s="45" t="str">
        <f>HYPERLINK("http://ictvonline.org/taxonomy/p/taxonomy-history?taxnode_id=201851849","ICTVonline=201851849")</f>
        <v>ICTVonline=201851849</v>
      </c>
      <c r="AA664" s="1">
        <v>201850000</v>
      </c>
      <c r="AB664" s="1">
        <v>34</v>
      </c>
    </row>
    <row r="665" spans="1:28" x14ac:dyDescent="0.15">
      <c r="A665" s="1">
        <v>1773</v>
      </c>
      <c r="B665" s="1" t="s">
        <v>7159</v>
      </c>
      <c r="J665" s="1" t="s">
        <v>1439</v>
      </c>
      <c r="K665" s="1" t="s">
        <v>5823</v>
      </c>
      <c r="L665" s="1" t="s">
        <v>1383</v>
      </c>
      <c r="M665" s="1" t="s">
        <v>5831</v>
      </c>
      <c r="N665" s="1" t="s">
        <v>462</v>
      </c>
      <c r="O665" s="1" t="s">
        <v>5857</v>
      </c>
      <c r="P665" s="1" t="s">
        <v>464</v>
      </c>
      <c r="Q665" s="3">
        <v>0</v>
      </c>
      <c r="S665" s="23" t="s">
        <v>5949</v>
      </c>
      <c r="T665" s="23" t="s">
        <v>4931</v>
      </c>
      <c r="U665" s="3">
        <v>34</v>
      </c>
      <c r="W665" s="45" t="str">
        <f>HYPERLINK("http://ictvonline.org/taxonomy/p/taxonomy-history?taxnode_id=201851861","ICTVonline=201851861")</f>
        <v>ICTVonline=201851861</v>
      </c>
      <c r="AA665" s="1">
        <v>201850000</v>
      </c>
      <c r="AB665" s="1">
        <v>34</v>
      </c>
    </row>
    <row r="666" spans="1:28" x14ac:dyDescent="0.15">
      <c r="A666" s="1">
        <v>1775</v>
      </c>
      <c r="B666" s="1" t="s">
        <v>7159</v>
      </c>
      <c r="J666" s="1" t="s">
        <v>1439</v>
      </c>
      <c r="K666" s="1" t="s">
        <v>5823</v>
      </c>
      <c r="L666" s="1" t="s">
        <v>1383</v>
      </c>
      <c r="M666" s="1" t="s">
        <v>5831</v>
      </c>
      <c r="N666" s="1" t="s">
        <v>462</v>
      </c>
      <c r="O666" s="1" t="s">
        <v>5857</v>
      </c>
      <c r="P666" s="1" t="s">
        <v>5858</v>
      </c>
      <c r="Q666" s="3">
        <v>0</v>
      </c>
      <c r="S666" s="23" t="s">
        <v>5949</v>
      </c>
      <c r="T666" s="23" t="s">
        <v>4931</v>
      </c>
      <c r="U666" s="3">
        <v>34</v>
      </c>
      <c r="W666" s="45" t="str">
        <f>HYPERLINK("http://ictvonline.org/taxonomy/p/taxonomy-history?taxnode_id=201856124","ICTVonline=201856124")</f>
        <v>ICTVonline=201856124</v>
      </c>
      <c r="AA666" s="1">
        <v>201850000</v>
      </c>
      <c r="AB666" s="1">
        <v>34</v>
      </c>
    </row>
    <row r="667" spans="1:28" x14ac:dyDescent="0.15">
      <c r="A667" s="1">
        <v>1777</v>
      </c>
      <c r="B667" s="1" t="s">
        <v>7159</v>
      </c>
      <c r="J667" s="1" t="s">
        <v>1439</v>
      </c>
      <c r="K667" s="1" t="s">
        <v>5823</v>
      </c>
      <c r="L667" s="1" t="s">
        <v>1383</v>
      </c>
      <c r="M667" s="1" t="s">
        <v>5831</v>
      </c>
      <c r="N667" s="1" t="s">
        <v>462</v>
      </c>
      <c r="O667" s="1" t="s">
        <v>5857</v>
      </c>
      <c r="P667" s="1" t="s">
        <v>1397</v>
      </c>
      <c r="Q667" s="3">
        <v>0</v>
      </c>
      <c r="S667" s="23" t="s">
        <v>5949</v>
      </c>
      <c r="T667" s="23" t="s">
        <v>4931</v>
      </c>
      <c r="U667" s="3">
        <v>34</v>
      </c>
      <c r="W667" s="45" t="str">
        <f>HYPERLINK("http://ictvonline.org/taxonomy/p/taxonomy-history?taxnode_id=201851863","ICTVonline=201851863")</f>
        <v>ICTVonline=201851863</v>
      </c>
      <c r="AA667" s="1">
        <v>201850000</v>
      </c>
      <c r="AB667" s="1">
        <v>34</v>
      </c>
    </row>
    <row r="668" spans="1:28" x14ac:dyDescent="0.15">
      <c r="A668" s="1">
        <v>1779</v>
      </c>
      <c r="B668" s="1" t="s">
        <v>7159</v>
      </c>
      <c r="J668" s="1" t="s">
        <v>1439</v>
      </c>
      <c r="K668" s="1" t="s">
        <v>5823</v>
      </c>
      <c r="L668" s="1" t="s">
        <v>1383</v>
      </c>
      <c r="M668" s="1" t="s">
        <v>5831</v>
      </c>
      <c r="N668" s="1" t="s">
        <v>462</v>
      </c>
      <c r="O668" s="1" t="s">
        <v>5857</v>
      </c>
      <c r="P668" s="1" t="s">
        <v>463</v>
      </c>
      <c r="Q668" s="3">
        <v>1</v>
      </c>
      <c r="S668" s="23" t="s">
        <v>5949</v>
      </c>
      <c r="T668" s="23" t="s">
        <v>4931</v>
      </c>
      <c r="U668" s="3">
        <v>34</v>
      </c>
      <c r="W668" s="45" t="str">
        <f>HYPERLINK("http://ictvonline.org/taxonomy/p/taxonomy-history?taxnode_id=201851865","ICTVonline=201851865")</f>
        <v>ICTVonline=201851865</v>
      </c>
      <c r="AA668" s="1">
        <v>201850000</v>
      </c>
      <c r="AB668" s="1">
        <v>34</v>
      </c>
    </row>
    <row r="669" spans="1:28" x14ac:dyDescent="0.15">
      <c r="A669" s="1">
        <v>1783</v>
      </c>
      <c r="B669" s="1" t="s">
        <v>7159</v>
      </c>
      <c r="J669" s="1" t="s">
        <v>1439</v>
      </c>
      <c r="K669" s="1" t="s">
        <v>5823</v>
      </c>
      <c r="L669" s="1" t="s">
        <v>1383</v>
      </c>
      <c r="M669" s="1" t="s">
        <v>5831</v>
      </c>
      <c r="N669" s="1" t="s">
        <v>462</v>
      </c>
      <c r="O669" s="1" t="s">
        <v>5852</v>
      </c>
      <c r="P669" s="1" t="s">
        <v>5853</v>
      </c>
      <c r="Q669" s="3">
        <v>0</v>
      </c>
      <c r="S669" s="23" t="s">
        <v>5949</v>
      </c>
      <c r="T669" s="23" t="s">
        <v>4931</v>
      </c>
      <c r="U669" s="3">
        <v>34</v>
      </c>
      <c r="W669" s="45" t="str">
        <f>HYPERLINK("http://ictvonline.org/taxonomy/p/taxonomy-history?taxnode_id=201856131","ICTVonline=201856131")</f>
        <v>ICTVonline=201856131</v>
      </c>
      <c r="AA669" s="1">
        <v>201850000</v>
      </c>
      <c r="AB669" s="1">
        <v>34</v>
      </c>
    </row>
    <row r="670" spans="1:28" x14ac:dyDescent="0.15">
      <c r="A670" s="1">
        <v>1787</v>
      </c>
      <c r="B670" s="1" t="s">
        <v>7159</v>
      </c>
      <c r="J670" s="1" t="s">
        <v>1439</v>
      </c>
      <c r="K670" s="1" t="s">
        <v>5823</v>
      </c>
      <c r="L670" s="1" t="s">
        <v>1383</v>
      </c>
      <c r="M670" s="1" t="s">
        <v>5831</v>
      </c>
      <c r="N670" s="1" t="s">
        <v>462</v>
      </c>
      <c r="O670" s="1" t="s">
        <v>5860</v>
      </c>
      <c r="P670" s="1" t="s">
        <v>3627</v>
      </c>
      <c r="Q670" s="3">
        <v>0</v>
      </c>
      <c r="S670" s="23" t="s">
        <v>5949</v>
      </c>
      <c r="T670" s="23" t="s">
        <v>4931</v>
      </c>
      <c r="U670" s="3">
        <v>34</v>
      </c>
      <c r="W670" s="45" t="str">
        <f>HYPERLINK("http://ictvonline.org/taxonomy/p/taxonomy-history?taxnode_id=201851862","ICTVonline=201851862")</f>
        <v>ICTVonline=201851862</v>
      </c>
      <c r="AA670" s="1">
        <v>201850000</v>
      </c>
      <c r="AB670" s="1">
        <v>34</v>
      </c>
    </row>
    <row r="671" spans="1:28" x14ac:dyDescent="0.15">
      <c r="A671" s="1">
        <v>1789</v>
      </c>
      <c r="B671" s="1" t="s">
        <v>7159</v>
      </c>
      <c r="J671" s="1" t="s">
        <v>1439</v>
      </c>
      <c r="K671" s="1" t="s">
        <v>5823</v>
      </c>
      <c r="L671" s="1" t="s">
        <v>1383</v>
      </c>
      <c r="M671" s="1" t="s">
        <v>5831</v>
      </c>
      <c r="N671" s="1" t="s">
        <v>462</v>
      </c>
      <c r="O671" s="1" t="s">
        <v>5860</v>
      </c>
      <c r="P671" s="1" t="s">
        <v>3628</v>
      </c>
      <c r="Q671" s="3">
        <v>0</v>
      </c>
      <c r="S671" s="23" t="s">
        <v>5949</v>
      </c>
      <c r="T671" s="23" t="s">
        <v>4931</v>
      </c>
      <c r="U671" s="3">
        <v>34</v>
      </c>
      <c r="W671" s="45" t="str">
        <f>HYPERLINK("http://ictvonline.org/taxonomy/p/taxonomy-history?taxnode_id=201851864","ICTVonline=201851864")</f>
        <v>ICTVonline=201851864</v>
      </c>
      <c r="AA671" s="1">
        <v>201850000</v>
      </c>
      <c r="AB671" s="1">
        <v>34</v>
      </c>
    </row>
    <row r="672" spans="1:28" x14ac:dyDescent="0.15">
      <c r="A672" s="1">
        <v>1791</v>
      </c>
      <c r="B672" s="1" t="s">
        <v>7159</v>
      </c>
      <c r="J672" s="1" t="s">
        <v>1439</v>
      </c>
      <c r="K672" s="1" t="s">
        <v>5823</v>
      </c>
      <c r="L672" s="1" t="s">
        <v>1383</v>
      </c>
      <c r="M672" s="1" t="s">
        <v>5831</v>
      </c>
      <c r="N672" s="1" t="s">
        <v>462</v>
      </c>
      <c r="O672" s="1" t="s">
        <v>5860</v>
      </c>
      <c r="P672" s="1" t="s">
        <v>571</v>
      </c>
      <c r="Q672" s="3">
        <v>0</v>
      </c>
      <c r="S672" s="23" t="s">
        <v>5949</v>
      </c>
      <c r="T672" s="23" t="s">
        <v>4931</v>
      </c>
      <c r="U672" s="3">
        <v>34</v>
      </c>
      <c r="W672" s="45" t="str">
        <f>HYPERLINK("http://ictvonline.org/taxonomy/p/taxonomy-history?taxnode_id=201851866","ICTVonline=201851866")</f>
        <v>ICTVonline=201851866</v>
      </c>
      <c r="AA672" s="1">
        <v>201850000</v>
      </c>
      <c r="AB672" s="1">
        <v>34</v>
      </c>
    </row>
    <row r="673" spans="1:28" x14ac:dyDescent="0.15">
      <c r="A673" s="1">
        <v>1793</v>
      </c>
      <c r="B673" s="1" t="s">
        <v>7159</v>
      </c>
      <c r="J673" s="1" t="s">
        <v>1439</v>
      </c>
      <c r="K673" s="1" t="s">
        <v>5823</v>
      </c>
      <c r="L673" s="1" t="s">
        <v>1383</v>
      </c>
      <c r="M673" s="1" t="s">
        <v>5831</v>
      </c>
      <c r="N673" s="1" t="s">
        <v>462</v>
      </c>
      <c r="O673" s="1" t="s">
        <v>5860</v>
      </c>
      <c r="P673" s="1" t="s">
        <v>573</v>
      </c>
      <c r="Q673" s="3">
        <v>0</v>
      </c>
      <c r="S673" s="23" t="s">
        <v>5949</v>
      </c>
      <c r="T673" s="23" t="s">
        <v>4931</v>
      </c>
      <c r="U673" s="3">
        <v>34</v>
      </c>
      <c r="W673" s="45" t="str">
        <f>HYPERLINK("http://ictvonline.org/taxonomy/p/taxonomy-history?taxnode_id=201851869","ICTVonline=201851869")</f>
        <v>ICTVonline=201851869</v>
      </c>
      <c r="AA673" s="1">
        <v>201850000</v>
      </c>
      <c r="AB673" s="1">
        <v>34</v>
      </c>
    </row>
    <row r="674" spans="1:28" x14ac:dyDescent="0.15">
      <c r="A674" s="1">
        <v>1797</v>
      </c>
      <c r="B674" s="1" t="s">
        <v>7159</v>
      </c>
      <c r="J674" s="1" t="s">
        <v>1439</v>
      </c>
      <c r="K674" s="1" t="s">
        <v>5823</v>
      </c>
      <c r="L674" s="1" t="s">
        <v>1383</v>
      </c>
      <c r="M674" s="1" t="s">
        <v>5831</v>
      </c>
      <c r="N674" s="1" t="s">
        <v>462</v>
      </c>
      <c r="O674" s="1" t="s">
        <v>5854</v>
      </c>
      <c r="P674" s="1" t="s">
        <v>5855</v>
      </c>
      <c r="Q674" s="3">
        <v>0</v>
      </c>
      <c r="S674" s="23" t="s">
        <v>5949</v>
      </c>
      <c r="T674" s="23" t="s">
        <v>4931</v>
      </c>
      <c r="U674" s="3">
        <v>34</v>
      </c>
      <c r="W674" s="45" t="str">
        <f>HYPERLINK("http://ictvonline.org/taxonomy/p/taxonomy-history?taxnode_id=201856128","ICTVonline=201856128")</f>
        <v>ICTVonline=201856128</v>
      </c>
      <c r="AA674" s="1">
        <v>201850000</v>
      </c>
      <c r="AB674" s="1">
        <v>34</v>
      </c>
    </row>
    <row r="675" spans="1:28" x14ac:dyDescent="0.15">
      <c r="A675" s="1">
        <v>1799</v>
      </c>
      <c r="B675" s="1" t="s">
        <v>7159</v>
      </c>
      <c r="J675" s="1" t="s">
        <v>1439</v>
      </c>
      <c r="K675" s="1" t="s">
        <v>5823</v>
      </c>
      <c r="L675" s="1" t="s">
        <v>1383</v>
      </c>
      <c r="M675" s="1" t="s">
        <v>5831</v>
      </c>
      <c r="N675" s="1" t="s">
        <v>462</v>
      </c>
      <c r="O675" s="1" t="s">
        <v>5854</v>
      </c>
      <c r="P675" s="1" t="s">
        <v>572</v>
      </c>
      <c r="Q675" s="3">
        <v>0</v>
      </c>
      <c r="S675" s="23" t="s">
        <v>5949</v>
      </c>
      <c r="T675" s="23" t="s">
        <v>4931</v>
      </c>
      <c r="U675" s="3">
        <v>34</v>
      </c>
      <c r="W675" s="45" t="str">
        <f>HYPERLINK("http://ictvonline.org/taxonomy/p/taxonomy-history?taxnode_id=201851867","ICTVonline=201851867")</f>
        <v>ICTVonline=201851867</v>
      </c>
      <c r="AA675" s="1">
        <v>201850000</v>
      </c>
      <c r="AB675" s="1">
        <v>34</v>
      </c>
    </row>
    <row r="676" spans="1:28" x14ac:dyDescent="0.15">
      <c r="A676" s="1">
        <v>1803</v>
      </c>
      <c r="B676" s="1" t="s">
        <v>7159</v>
      </c>
      <c r="J676" s="1" t="s">
        <v>1439</v>
      </c>
      <c r="K676" s="1" t="s">
        <v>5823</v>
      </c>
      <c r="L676" s="1" t="s">
        <v>1383</v>
      </c>
      <c r="M676" s="1" t="s">
        <v>5831</v>
      </c>
      <c r="N676" s="1" t="s">
        <v>462</v>
      </c>
      <c r="O676" s="1" t="s">
        <v>5856</v>
      </c>
      <c r="P676" s="1" t="s">
        <v>1368</v>
      </c>
      <c r="Q676" s="3">
        <v>0</v>
      </c>
      <c r="S676" s="23" t="s">
        <v>5949</v>
      </c>
      <c r="T676" s="23" t="s">
        <v>4931</v>
      </c>
      <c r="U676" s="3">
        <v>34</v>
      </c>
      <c r="W676" s="45" t="str">
        <f>HYPERLINK("http://ictvonline.org/taxonomy/p/taxonomy-history?taxnode_id=201851868","ICTVonline=201851868")</f>
        <v>ICTVonline=201851868</v>
      </c>
      <c r="AA676" s="1">
        <v>201850000</v>
      </c>
      <c r="AB676" s="1">
        <v>34</v>
      </c>
    </row>
    <row r="677" spans="1:28" x14ac:dyDescent="0.15">
      <c r="A677" s="1">
        <v>1809</v>
      </c>
      <c r="B677" s="1" t="s">
        <v>7159</v>
      </c>
      <c r="J677" s="1" t="s">
        <v>1439</v>
      </c>
      <c r="K677" s="1" t="s">
        <v>5823</v>
      </c>
      <c r="L677" s="1" t="s">
        <v>1383</v>
      </c>
      <c r="M677" s="1" t="s">
        <v>5831</v>
      </c>
      <c r="N677" s="1" t="s">
        <v>0</v>
      </c>
      <c r="O677" s="1" t="s">
        <v>5863</v>
      </c>
      <c r="P677" s="1" t="s">
        <v>3633</v>
      </c>
      <c r="Q677" s="3">
        <v>0</v>
      </c>
      <c r="S677" s="23" t="s">
        <v>5949</v>
      </c>
      <c r="T677" s="23" t="s">
        <v>4931</v>
      </c>
      <c r="U677" s="3">
        <v>34</v>
      </c>
      <c r="W677" s="45" t="str">
        <f>HYPERLINK("http://ictvonline.org/taxonomy/p/taxonomy-history?taxnode_id=201851878","ICTVonline=201851878")</f>
        <v>ICTVonline=201851878</v>
      </c>
      <c r="AA677" s="1">
        <v>201850000</v>
      </c>
      <c r="AB677" s="1">
        <v>34</v>
      </c>
    </row>
    <row r="678" spans="1:28" x14ac:dyDescent="0.15">
      <c r="A678" s="1">
        <v>1813</v>
      </c>
      <c r="B678" s="1" t="s">
        <v>7159</v>
      </c>
      <c r="J678" s="1" t="s">
        <v>1439</v>
      </c>
      <c r="K678" s="1" t="s">
        <v>5823</v>
      </c>
      <c r="L678" s="1" t="s">
        <v>1383</v>
      </c>
      <c r="M678" s="1" t="s">
        <v>5831</v>
      </c>
      <c r="N678" s="1" t="s">
        <v>0</v>
      </c>
      <c r="O678" s="1" t="s">
        <v>5859</v>
      </c>
      <c r="P678" s="1" t="s">
        <v>1</v>
      </c>
      <c r="Q678" s="3">
        <v>1</v>
      </c>
      <c r="S678" s="23" t="s">
        <v>5949</v>
      </c>
      <c r="T678" s="23" t="s">
        <v>4931</v>
      </c>
      <c r="U678" s="3">
        <v>34</v>
      </c>
      <c r="W678" s="45" t="str">
        <f>HYPERLINK("http://ictvonline.org/taxonomy/p/taxonomy-history?taxnode_id=201851871","ICTVonline=201851871")</f>
        <v>ICTVonline=201851871</v>
      </c>
      <c r="AA678" s="1">
        <v>201850000</v>
      </c>
      <c r="AB678" s="1">
        <v>34</v>
      </c>
    </row>
    <row r="679" spans="1:28" x14ac:dyDescent="0.15">
      <c r="A679" s="1">
        <v>1815</v>
      </c>
      <c r="B679" s="1" t="s">
        <v>7159</v>
      </c>
      <c r="J679" s="1" t="s">
        <v>1439</v>
      </c>
      <c r="K679" s="1" t="s">
        <v>5823</v>
      </c>
      <c r="L679" s="1" t="s">
        <v>1383</v>
      </c>
      <c r="M679" s="1" t="s">
        <v>5831</v>
      </c>
      <c r="N679" s="1" t="s">
        <v>0</v>
      </c>
      <c r="O679" s="1" t="s">
        <v>5859</v>
      </c>
      <c r="P679" s="1" t="s">
        <v>3630</v>
      </c>
      <c r="Q679" s="3">
        <v>0</v>
      </c>
      <c r="S679" s="23" t="s">
        <v>5949</v>
      </c>
      <c r="T679" s="23" t="s">
        <v>4931</v>
      </c>
      <c r="U679" s="3">
        <v>34</v>
      </c>
      <c r="W679" s="45" t="str">
        <f>HYPERLINK("http://ictvonline.org/taxonomy/p/taxonomy-history?taxnode_id=201851873","ICTVonline=201851873")</f>
        <v>ICTVonline=201851873</v>
      </c>
      <c r="AA679" s="1">
        <v>201850000</v>
      </c>
      <c r="AB679" s="1">
        <v>34</v>
      </c>
    </row>
    <row r="680" spans="1:28" x14ac:dyDescent="0.15">
      <c r="A680" s="1">
        <v>1817</v>
      </c>
      <c r="B680" s="1" t="s">
        <v>7159</v>
      </c>
      <c r="J680" s="1" t="s">
        <v>1439</v>
      </c>
      <c r="K680" s="1" t="s">
        <v>5823</v>
      </c>
      <c r="L680" s="1" t="s">
        <v>1383</v>
      </c>
      <c r="M680" s="1" t="s">
        <v>5831</v>
      </c>
      <c r="N680" s="1" t="s">
        <v>0</v>
      </c>
      <c r="O680" s="1" t="s">
        <v>5859</v>
      </c>
      <c r="P680" s="1" t="s">
        <v>562</v>
      </c>
      <c r="Q680" s="3">
        <v>0</v>
      </c>
      <c r="S680" s="23" t="s">
        <v>5949</v>
      </c>
      <c r="T680" s="23" t="s">
        <v>4931</v>
      </c>
      <c r="U680" s="3">
        <v>34</v>
      </c>
      <c r="W680" s="45" t="str">
        <f>HYPERLINK("http://ictvonline.org/taxonomy/p/taxonomy-history?taxnode_id=201851874","ICTVonline=201851874")</f>
        <v>ICTVonline=201851874</v>
      </c>
      <c r="AA680" s="1">
        <v>201850000</v>
      </c>
      <c r="AB680" s="1">
        <v>34</v>
      </c>
    </row>
    <row r="681" spans="1:28" x14ac:dyDescent="0.15">
      <c r="A681" s="1">
        <v>1819</v>
      </c>
      <c r="B681" s="1" t="s">
        <v>7159</v>
      </c>
      <c r="J681" s="1" t="s">
        <v>1439</v>
      </c>
      <c r="K681" s="1" t="s">
        <v>5823</v>
      </c>
      <c r="L681" s="1" t="s">
        <v>1383</v>
      </c>
      <c r="M681" s="1" t="s">
        <v>5831</v>
      </c>
      <c r="N681" s="1" t="s">
        <v>0</v>
      </c>
      <c r="O681" s="1" t="s">
        <v>5859</v>
      </c>
      <c r="P681" s="1" t="s">
        <v>3632</v>
      </c>
      <c r="Q681" s="3">
        <v>0</v>
      </c>
      <c r="S681" s="23" t="s">
        <v>5949</v>
      </c>
      <c r="T681" s="23" t="s">
        <v>4931</v>
      </c>
      <c r="U681" s="3">
        <v>34</v>
      </c>
      <c r="W681" s="45" t="str">
        <f>HYPERLINK("http://ictvonline.org/taxonomy/p/taxonomy-history?taxnode_id=201851877","ICTVonline=201851877")</f>
        <v>ICTVonline=201851877</v>
      </c>
      <c r="AA681" s="1">
        <v>201850000</v>
      </c>
      <c r="AB681" s="1">
        <v>34</v>
      </c>
    </row>
    <row r="682" spans="1:28" x14ac:dyDescent="0.15">
      <c r="A682" s="1">
        <v>1823</v>
      </c>
      <c r="B682" s="1" t="s">
        <v>7159</v>
      </c>
      <c r="J682" s="1" t="s">
        <v>1439</v>
      </c>
      <c r="K682" s="1" t="s">
        <v>5823</v>
      </c>
      <c r="L682" s="1" t="s">
        <v>1383</v>
      </c>
      <c r="M682" s="1" t="s">
        <v>5831</v>
      </c>
      <c r="N682" s="1" t="s">
        <v>0</v>
      </c>
      <c r="O682" s="1" t="s">
        <v>5861</v>
      </c>
      <c r="P682" s="1" t="s">
        <v>3631</v>
      </c>
      <c r="Q682" s="3">
        <v>0</v>
      </c>
      <c r="S682" s="23" t="s">
        <v>5949</v>
      </c>
      <c r="T682" s="23" t="s">
        <v>4931</v>
      </c>
      <c r="U682" s="3">
        <v>34</v>
      </c>
      <c r="W682" s="45" t="str">
        <f>HYPERLINK("http://ictvonline.org/taxonomy/p/taxonomy-history?taxnode_id=201851875","ICTVonline=201851875")</f>
        <v>ICTVonline=201851875</v>
      </c>
      <c r="AA682" s="1">
        <v>201850000</v>
      </c>
      <c r="AB682" s="1">
        <v>34</v>
      </c>
    </row>
    <row r="683" spans="1:28" x14ac:dyDescent="0.15">
      <c r="A683" s="1">
        <v>1827</v>
      </c>
      <c r="B683" s="1" t="s">
        <v>7159</v>
      </c>
      <c r="J683" s="1" t="s">
        <v>1439</v>
      </c>
      <c r="K683" s="1" t="s">
        <v>5823</v>
      </c>
      <c r="L683" s="1" t="s">
        <v>1383</v>
      </c>
      <c r="M683" s="1" t="s">
        <v>5831</v>
      </c>
      <c r="N683" s="1" t="s">
        <v>0</v>
      </c>
      <c r="O683" s="1" t="s">
        <v>5874</v>
      </c>
      <c r="P683" s="1" t="s">
        <v>3629</v>
      </c>
      <c r="Q683" s="3">
        <v>0</v>
      </c>
      <c r="S683" s="23" t="s">
        <v>5949</v>
      </c>
      <c r="T683" s="23" t="s">
        <v>4931</v>
      </c>
      <c r="U683" s="3">
        <v>34</v>
      </c>
      <c r="W683" s="45" t="str">
        <f>HYPERLINK("http://ictvonline.org/taxonomy/p/taxonomy-history?taxnode_id=201851872","ICTVonline=201851872")</f>
        <v>ICTVonline=201851872</v>
      </c>
      <c r="AA683" s="1">
        <v>201850000</v>
      </c>
      <c r="AB683" s="1">
        <v>34</v>
      </c>
    </row>
    <row r="684" spans="1:28" x14ac:dyDescent="0.15">
      <c r="A684" s="1">
        <v>1833</v>
      </c>
      <c r="B684" s="1" t="s">
        <v>7159</v>
      </c>
      <c r="J684" s="1" t="s">
        <v>1439</v>
      </c>
      <c r="K684" s="1" t="s">
        <v>5823</v>
      </c>
      <c r="L684" s="1" t="s">
        <v>1383</v>
      </c>
      <c r="M684" s="1" t="s">
        <v>5831</v>
      </c>
      <c r="N684" s="1" t="s">
        <v>431</v>
      </c>
      <c r="O684" s="1" t="s">
        <v>5875</v>
      </c>
      <c r="P684" s="1" t="s">
        <v>433</v>
      </c>
      <c r="Q684" s="3">
        <v>0</v>
      </c>
      <c r="S684" s="23" t="s">
        <v>5949</v>
      </c>
      <c r="T684" s="23" t="s">
        <v>4931</v>
      </c>
      <c r="U684" s="3">
        <v>34</v>
      </c>
      <c r="W684" s="45" t="str">
        <f>HYPERLINK("http://ictvonline.org/taxonomy/p/taxonomy-history?taxnode_id=201851881","ICTVonline=201851881")</f>
        <v>ICTVonline=201851881</v>
      </c>
      <c r="AA684" s="1">
        <v>201850000</v>
      </c>
      <c r="AB684" s="1">
        <v>34</v>
      </c>
    </row>
    <row r="685" spans="1:28" x14ac:dyDescent="0.15">
      <c r="A685" s="1">
        <v>1837</v>
      </c>
      <c r="B685" s="1" t="s">
        <v>7159</v>
      </c>
      <c r="J685" s="1" t="s">
        <v>1439</v>
      </c>
      <c r="K685" s="1" t="s">
        <v>5823</v>
      </c>
      <c r="L685" s="1" t="s">
        <v>1383</v>
      </c>
      <c r="M685" s="1" t="s">
        <v>5831</v>
      </c>
      <c r="N685" s="1" t="s">
        <v>431</v>
      </c>
      <c r="O685" s="1" t="s">
        <v>5862</v>
      </c>
      <c r="P685" s="1" t="s">
        <v>432</v>
      </c>
      <c r="Q685" s="3">
        <v>1</v>
      </c>
      <c r="S685" s="23" t="s">
        <v>5949</v>
      </c>
      <c r="T685" s="23" t="s">
        <v>4931</v>
      </c>
      <c r="U685" s="3">
        <v>34</v>
      </c>
      <c r="W685" s="45" t="str">
        <f>HYPERLINK("http://ictvonline.org/taxonomy/p/taxonomy-history?taxnode_id=201851880","ICTVonline=201851880")</f>
        <v>ICTVonline=201851880</v>
      </c>
      <c r="AA685" s="1">
        <v>201850000</v>
      </c>
      <c r="AB685" s="1">
        <v>34</v>
      </c>
    </row>
    <row r="686" spans="1:28" x14ac:dyDescent="0.15">
      <c r="A686" s="1">
        <v>1849</v>
      </c>
      <c r="B686" s="1" t="s">
        <v>7159</v>
      </c>
      <c r="J686" s="1" t="s">
        <v>1439</v>
      </c>
      <c r="K686" s="1" t="s">
        <v>5864</v>
      </c>
      <c r="L686" s="1" t="s">
        <v>5865</v>
      </c>
      <c r="M686" s="1" t="s">
        <v>5866</v>
      </c>
      <c r="N686" s="1" t="s">
        <v>5867</v>
      </c>
      <c r="O686" s="1" t="s">
        <v>5868</v>
      </c>
      <c r="P686" s="1" t="s">
        <v>5869</v>
      </c>
      <c r="Q686" s="3">
        <v>1</v>
      </c>
      <c r="S686" s="23" t="s">
        <v>5949</v>
      </c>
      <c r="T686" s="23" t="s">
        <v>4931</v>
      </c>
      <c r="U686" s="3">
        <v>34</v>
      </c>
      <c r="W686" s="45" t="str">
        <f>HYPERLINK("http://ictvonline.org/taxonomy/p/taxonomy-history?taxnode_id=201856175","ICTVonline=201856175")</f>
        <v>ICTVonline=201856175</v>
      </c>
      <c r="AA686" s="1">
        <v>201850000</v>
      </c>
      <c r="AB686" s="1">
        <v>34</v>
      </c>
    </row>
    <row r="687" spans="1:28" x14ac:dyDescent="0.15">
      <c r="A687" s="1">
        <v>1857</v>
      </c>
      <c r="B687" s="1" t="s">
        <v>7159</v>
      </c>
      <c r="J687" s="1" t="s">
        <v>1439</v>
      </c>
      <c r="K687" s="1" t="s">
        <v>5864</v>
      </c>
      <c r="L687" s="1" t="s">
        <v>5865</v>
      </c>
      <c r="M687" s="1" t="s">
        <v>5870</v>
      </c>
      <c r="N687" s="1" t="s">
        <v>5871</v>
      </c>
      <c r="O687" s="1" t="s">
        <v>5872</v>
      </c>
      <c r="P687" s="1" t="s">
        <v>5873</v>
      </c>
      <c r="Q687" s="3">
        <v>1</v>
      </c>
      <c r="S687" s="23" t="s">
        <v>5949</v>
      </c>
      <c r="T687" s="23" t="s">
        <v>4931</v>
      </c>
      <c r="U687" s="3">
        <v>34</v>
      </c>
      <c r="W687" s="45" t="str">
        <f>HYPERLINK("http://ictvonline.org/taxonomy/p/taxonomy-history?taxnode_id=201856179","ICTVonline=201856179")</f>
        <v>ICTVonline=201856179</v>
      </c>
      <c r="AA687" s="1">
        <v>201850000</v>
      </c>
      <c r="AB687" s="1">
        <v>34</v>
      </c>
    </row>
    <row r="688" spans="1:28" x14ac:dyDescent="0.15">
      <c r="A688" s="1">
        <v>1867</v>
      </c>
      <c r="B688" s="1" t="s">
        <v>7159</v>
      </c>
      <c r="J688" s="1" t="s">
        <v>1439</v>
      </c>
      <c r="K688" s="1" t="s">
        <v>5864</v>
      </c>
      <c r="L688" s="1" t="s">
        <v>2167</v>
      </c>
      <c r="M688" s="1" t="s">
        <v>5876</v>
      </c>
      <c r="N688" s="1" t="s">
        <v>2168</v>
      </c>
      <c r="O688" s="1" t="s">
        <v>5877</v>
      </c>
      <c r="P688" s="1" t="s">
        <v>3638</v>
      </c>
      <c r="Q688" s="3">
        <v>0</v>
      </c>
      <c r="S688" s="23" t="s">
        <v>5949</v>
      </c>
      <c r="T688" s="23" t="s">
        <v>4931</v>
      </c>
      <c r="U688" s="3">
        <v>34</v>
      </c>
      <c r="W688" s="45" t="str">
        <f>HYPERLINK("http://ictvonline.org/taxonomy/p/taxonomy-history?taxnode_id=201851901","ICTVonline=201851901")</f>
        <v>ICTVonline=201851901</v>
      </c>
      <c r="AA688" s="1">
        <v>201850000</v>
      </c>
      <c r="AB688" s="1">
        <v>34</v>
      </c>
    </row>
    <row r="689" spans="1:28" x14ac:dyDescent="0.15">
      <c r="A689" s="1">
        <v>1871</v>
      </c>
      <c r="B689" s="1" t="s">
        <v>7159</v>
      </c>
      <c r="J689" s="1" t="s">
        <v>1439</v>
      </c>
      <c r="K689" s="1" t="s">
        <v>5864</v>
      </c>
      <c r="L689" s="1" t="s">
        <v>2167</v>
      </c>
      <c r="M689" s="1" t="s">
        <v>5876</v>
      </c>
      <c r="N689" s="1" t="s">
        <v>2168</v>
      </c>
      <c r="O689" s="1" t="s">
        <v>5883</v>
      </c>
      <c r="P689" s="1" t="s">
        <v>5884</v>
      </c>
      <c r="Q689" s="3">
        <v>0</v>
      </c>
      <c r="S689" s="23" t="s">
        <v>5949</v>
      </c>
      <c r="T689" s="23" t="s">
        <v>4931</v>
      </c>
      <c r="U689" s="3">
        <v>34</v>
      </c>
      <c r="W689" s="45" t="str">
        <f>HYPERLINK("http://ictvonline.org/taxonomy/p/taxonomy-history?taxnode_id=201851904","ICTVonline=201851904")</f>
        <v>ICTVonline=201851904</v>
      </c>
      <c r="AA689" s="1">
        <v>201850000</v>
      </c>
      <c r="AB689" s="1">
        <v>34</v>
      </c>
    </row>
    <row r="690" spans="1:28" x14ac:dyDescent="0.15">
      <c r="A690" s="1">
        <v>1875</v>
      </c>
      <c r="B690" s="1" t="s">
        <v>7159</v>
      </c>
      <c r="J690" s="1" t="s">
        <v>1439</v>
      </c>
      <c r="K690" s="1" t="s">
        <v>5864</v>
      </c>
      <c r="L690" s="1" t="s">
        <v>2167</v>
      </c>
      <c r="M690" s="1" t="s">
        <v>5876</v>
      </c>
      <c r="N690" s="1" t="s">
        <v>2168</v>
      </c>
      <c r="O690" s="1" t="s">
        <v>5885</v>
      </c>
      <c r="P690" s="1" t="s">
        <v>3639</v>
      </c>
      <c r="Q690" s="3">
        <v>0</v>
      </c>
      <c r="S690" s="23" t="s">
        <v>5949</v>
      </c>
      <c r="T690" s="23" t="s">
        <v>4931</v>
      </c>
      <c r="U690" s="3">
        <v>34</v>
      </c>
      <c r="W690" s="45" t="str">
        <f>HYPERLINK("http://ictvonline.org/taxonomy/p/taxonomy-history?taxnode_id=201851902","ICTVonline=201851902")</f>
        <v>ICTVonline=201851902</v>
      </c>
      <c r="AA690" s="1">
        <v>201850000</v>
      </c>
      <c r="AB690" s="1">
        <v>34</v>
      </c>
    </row>
    <row r="691" spans="1:28" x14ac:dyDescent="0.15">
      <c r="A691" s="1">
        <v>1879</v>
      </c>
      <c r="B691" s="1" t="s">
        <v>7159</v>
      </c>
      <c r="J691" s="1" t="s">
        <v>1439</v>
      </c>
      <c r="K691" s="1" t="s">
        <v>5864</v>
      </c>
      <c r="L691" s="1" t="s">
        <v>2167</v>
      </c>
      <c r="M691" s="1" t="s">
        <v>5876</v>
      </c>
      <c r="N691" s="1" t="s">
        <v>2168</v>
      </c>
      <c r="O691" s="1" t="s">
        <v>5878</v>
      </c>
      <c r="P691" s="1" t="s">
        <v>5879</v>
      </c>
      <c r="Q691" s="3">
        <v>0</v>
      </c>
      <c r="S691" s="23" t="s">
        <v>5949</v>
      </c>
      <c r="T691" s="23" t="s">
        <v>4931</v>
      </c>
      <c r="U691" s="3">
        <v>34</v>
      </c>
      <c r="W691" s="45" t="str">
        <f>HYPERLINK("http://ictvonline.org/taxonomy/p/taxonomy-history?taxnode_id=201856168","ICTVonline=201856168")</f>
        <v>ICTVonline=201856168</v>
      </c>
      <c r="AA691" s="1">
        <v>201850000</v>
      </c>
      <c r="AB691" s="1">
        <v>34</v>
      </c>
    </row>
    <row r="692" spans="1:28" x14ac:dyDescent="0.15">
      <c r="A692" s="1">
        <v>1883</v>
      </c>
      <c r="B692" s="1" t="s">
        <v>7159</v>
      </c>
      <c r="J692" s="1" t="s">
        <v>1439</v>
      </c>
      <c r="K692" s="1" t="s">
        <v>5864</v>
      </c>
      <c r="L692" s="1" t="s">
        <v>2167</v>
      </c>
      <c r="M692" s="1" t="s">
        <v>5876</v>
      </c>
      <c r="N692" s="1" t="s">
        <v>2168</v>
      </c>
      <c r="O692" s="1" t="s">
        <v>5880</v>
      </c>
      <c r="P692" s="1" t="s">
        <v>3636</v>
      </c>
      <c r="Q692" s="3">
        <v>0</v>
      </c>
      <c r="S692" s="23" t="s">
        <v>5949</v>
      </c>
      <c r="T692" s="23" t="s">
        <v>4931</v>
      </c>
      <c r="U692" s="3">
        <v>34</v>
      </c>
      <c r="W692" s="45" t="str">
        <f>HYPERLINK("http://ictvonline.org/taxonomy/p/taxonomy-history?taxnode_id=201851899","ICTVonline=201851899")</f>
        <v>ICTVonline=201851899</v>
      </c>
      <c r="AA692" s="1">
        <v>201850000</v>
      </c>
      <c r="AB692" s="1">
        <v>34</v>
      </c>
    </row>
    <row r="693" spans="1:28" x14ac:dyDescent="0.15">
      <c r="A693" s="1">
        <v>1885</v>
      </c>
      <c r="B693" s="1" t="s">
        <v>7159</v>
      </c>
      <c r="J693" s="1" t="s">
        <v>1439</v>
      </c>
      <c r="K693" s="1" t="s">
        <v>5864</v>
      </c>
      <c r="L693" s="1" t="s">
        <v>2167</v>
      </c>
      <c r="M693" s="1" t="s">
        <v>5876</v>
      </c>
      <c r="N693" s="1" t="s">
        <v>2168</v>
      </c>
      <c r="O693" s="1" t="s">
        <v>5880</v>
      </c>
      <c r="P693" s="1" t="s">
        <v>3637</v>
      </c>
      <c r="Q693" s="3">
        <v>0</v>
      </c>
      <c r="S693" s="23" t="s">
        <v>5949</v>
      </c>
      <c r="T693" s="23" t="s">
        <v>4931</v>
      </c>
      <c r="U693" s="3">
        <v>34</v>
      </c>
      <c r="W693" s="45" t="str">
        <f>HYPERLINK("http://ictvonline.org/taxonomy/p/taxonomy-history?taxnode_id=201851900","ICTVonline=201851900")</f>
        <v>ICTVonline=201851900</v>
      </c>
      <c r="AA693" s="1">
        <v>201850000</v>
      </c>
      <c r="AB693" s="1">
        <v>34</v>
      </c>
    </row>
    <row r="694" spans="1:28" x14ac:dyDescent="0.15">
      <c r="A694" s="1">
        <v>1889</v>
      </c>
      <c r="B694" s="1" t="s">
        <v>7159</v>
      </c>
      <c r="J694" s="1" t="s">
        <v>1439</v>
      </c>
      <c r="K694" s="1" t="s">
        <v>5864</v>
      </c>
      <c r="L694" s="1" t="s">
        <v>2167</v>
      </c>
      <c r="M694" s="1" t="s">
        <v>5876</v>
      </c>
      <c r="N694" s="1" t="s">
        <v>2168</v>
      </c>
      <c r="O694" s="1" t="s">
        <v>5892</v>
      </c>
      <c r="P694" s="1" t="s">
        <v>5893</v>
      </c>
      <c r="Q694" s="3">
        <v>0</v>
      </c>
      <c r="S694" s="23" t="s">
        <v>5949</v>
      </c>
      <c r="T694" s="23" t="s">
        <v>4931</v>
      </c>
      <c r="U694" s="3">
        <v>34</v>
      </c>
      <c r="W694" s="45" t="str">
        <f>HYPERLINK("http://ictvonline.org/taxonomy/p/taxonomy-history?taxnode_id=201851905","ICTVonline=201851905")</f>
        <v>ICTVonline=201851905</v>
      </c>
      <c r="AA694" s="1">
        <v>201850000</v>
      </c>
      <c r="AB694" s="1">
        <v>34</v>
      </c>
    </row>
    <row r="695" spans="1:28" x14ac:dyDescent="0.15">
      <c r="A695" s="1">
        <v>1893</v>
      </c>
      <c r="B695" s="1" t="s">
        <v>7159</v>
      </c>
      <c r="J695" s="1" t="s">
        <v>1439</v>
      </c>
      <c r="K695" s="1" t="s">
        <v>5864</v>
      </c>
      <c r="L695" s="1" t="s">
        <v>2167</v>
      </c>
      <c r="M695" s="1" t="s">
        <v>5876</v>
      </c>
      <c r="N695" s="1" t="s">
        <v>2168</v>
      </c>
      <c r="O695" s="1" t="s">
        <v>5900</v>
      </c>
      <c r="P695" s="1" t="s">
        <v>2169</v>
      </c>
      <c r="Q695" s="3">
        <v>1</v>
      </c>
      <c r="S695" s="23" t="s">
        <v>5949</v>
      </c>
      <c r="T695" s="23" t="s">
        <v>4931</v>
      </c>
      <c r="U695" s="3">
        <v>34</v>
      </c>
      <c r="W695" s="45" t="str">
        <f>HYPERLINK("http://ictvonline.org/taxonomy/p/taxonomy-history?taxnode_id=201851898","ICTVonline=201851898")</f>
        <v>ICTVonline=201851898</v>
      </c>
      <c r="AA695" s="1">
        <v>201850000</v>
      </c>
      <c r="AB695" s="1">
        <v>34</v>
      </c>
    </row>
    <row r="696" spans="1:28" x14ac:dyDescent="0.15">
      <c r="A696" s="1">
        <v>1897</v>
      </c>
      <c r="B696" s="1" t="s">
        <v>7159</v>
      </c>
      <c r="J696" s="1" t="s">
        <v>1439</v>
      </c>
      <c r="K696" s="1" t="s">
        <v>5864</v>
      </c>
      <c r="L696" s="1" t="s">
        <v>2167</v>
      </c>
      <c r="M696" s="1" t="s">
        <v>5876</v>
      </c>
      <c r="N696" s="1" t="s">
        <v>2168</v>
      </c>
      <c r="O696" s="1" t="s">
        <v>5881</v>
      </c>
      <c r="P696" s="1" t="s">
        <v>5882</v>
      </c>
      <c r="Q696" s="3">
        <v>0</v>
      </c>
      <c r="S696" s="23" t="s">
        <v>5949</v>
      </c>
      <c r="T696" s="23" t="s">
        <v>4931</v>
      </c>
      <c r="U696" s="3">
        <v>34</v>
      </c>
      <c r="W696" s="45" t="str">
        <f>HYPERLINK("http://ictvonline.org/taxonomy/p/taxonomy-history?taxnode_id=201856127","ICTVonline=201856127")</f>
        <v>ICTVonline=201856127</v>
      </c>
      <c r="AA696" s="1">
        <v>201850000</v>
      </c>
      <c r="AB696" s="1">
        <v>34</v>
      </c>
    </row>
    <row r="697" spans="1:28" x14ac:dyDescent="0.15">
      <c r="A697" s="1">
        <v>1909</v>
      </c>
      <c r="B697" s="1" t="s">
        <v>7159</v>
      </c>
      <c r="J697" s="1" t="s">
        <v>1439</v>
      </c>
      <c r="K697" s="1" t="s">
        <v>5886</v>
      </c>
      <c r="L697" s="1" t="s">
        <v>5887</v>
      </c>
      <c r="M697" s="1" t="s">
        <v>5888</v>
      </c>
      <c r="N697" s="1" t="s">
        <v>5889</v>
      </c>
      <c r="O697" s="1" t="s">
        <v>5890</v>
      </c>
      <c r="P697" s="1" t="s">
        <v>5891</v>
      </c>
      <c r="Q697" s="3">
        <v>1</v>
      </c>
      <c r="S697" s="23" t="s">
        <v>5949</v>
      </c>
      <c r="T697" s="23" t="s">
        <v>4931</v>
      </c>
      <c r="U697" s="3">
        <v>34</v>
      </c>
      <c r="W697" s="45" t="str">
        <f>HYPERLINK("http://ictvonline.org/taxonomy/p/taxonomy-history?taxnode_id=201856206","ICTVonline=201856206")</f>
        <v>ICTVonline=201856206</v>
      </c>
      <c r="AA697" s="1">
        <v>201850000</v>
      </c>
      <c r="AB697" s="1">
        <v>34</v>
      </c>
    </row>
    <row r="698" spans="1:28" x14ac:dyDescent="0.15">
      <c r="A698" s="1">
        <v>1921</v>
      </c>
      <c r="B698" s="1" t="s">
        <v>7159</v>
      </c>
      <c r="J698" s="1" t="s">
        <v>1439</v>
      </c>
      <c r="K698" s="1" t="s">
        <v>5894</v>
      </c>
      <c r="L698" s="1" t="s">
        <v>5895</v>
      </c>
      <c r="M698" s="1" t="s">
        <v>5896</v>
      </c>
      <c r="N698" s="1" t="s">
        <v>5897</v>
      </c>
      <c r="O698" s="1" t="s">
        <v>5898</v>
      </c>
      <c r="P698" s="1" t="s">
        <v>5899</v>
      </c>
      <c r="Q698" s="3">
        <v>1</v>
      </c>
      <c r="S698" s="23" t="s">
        <v>5949</v>
      </c>
      <c r="T698" s="23" t="s">
        <v>4931</v>
      </c>
      <c r="U698" s="3">
        <v>34</v>
      </c>
      <c r="W698" s="45" t="str">
        <f>HYPERLINK("http://ictvonline.org/taxonomy/p/taxonomy-history?taxnode_id=201856188","ICTVonline=201856188")</f>
        <v>ICTVonline=201856188</v>
      </c>
      <c r="AA698" s="1">
        <v>201850000</v>
      </c>
      <c r="AB698" s="1">
        <v>34</v>
      </c>
    </row>
    <row r="699" spans="1:28" x14ac:dyDescent="0.15">
      <c r="A699" s="1">
        <v>1925</v>
      </c>
      <c r="B699" s="1" t="s">
        <v>7159</v>
      </c>
      <c r="J699" s="1" t="s">
        <v>1439</v>
      </c>
      <c r="K699" s="1" t="s">
        <v>5894</v>
      </c>
      <c r="L699" s="1" t="s">
        <v>5895</v>
      </c>
      <c r="M699" s="1" t="s">
        <v>5896</v>
      </c>
      <c r="N699" s="1" t="s">
        <v>5897</v>
      </c>
      <c r="O699" s="1" t="s">
        <v>5901</v>
      </c>
      <c r="P699" s="1" t="s">
        <v>5902</v>
      </c>
      <c r="Q699" s="3">
        <v>0</v>
      </c>
      <c r="S699" s="23" t="s">
        <v>5949</v>
      </c>
      <c r="T699" s="23" t="s">
        <v>4931</v>
      </c>
      <c r="U699" s="3">
        <v>34</v>
      </c>
      <c r="W699" s="45" t="str">
        <f>HYPERLINK("http://ictvonline.org/taxonomy/p/taxonomy-history?taxnode_id=201856190","ICTVonline=201856190")</f>
        <v>ICTVonline=201856190</v>
      </c>
      <c r="AA699" s="1">
        <v>201850000</v>
      </c>
      <c r="AB699" s="1">
        <v>34</v>
      </c>
    </row>
    <row r="700" spans="1:28" x14ac:dyDescent="0.15">
      <c r="A700" s="1">
        <v>1933</v>
      </c>
      <c r="B700" s="1" t="s">
        <v>7159</v>
      </c>
      <c r="J700" s="1" t="s">
        <v>1439</v>
      </c>
      <c r="K700" s="1" t="s">
        <v>5894</v>
      </c>
      <c r="L700" s="1" t="s">
        <v>5895</v>
      </c>
      <c r="M700" s="1" t="s">
        <v>5903</v>
      </c>
      <c r="N700" s="1" t="s">
        <v>5904</v>
      </c>
      <c r="O700" s="1" t="s">
        <v>5905</v>
      </c>
      <c r="P700" s="1" t="s">
        <v>5906</v>
      </c>
      <c r="Q700" s="3">
        <v>1</v>
      </c>
      <c r="S700" s="23" t="s">
        <v>5949</v>
      </c>
      <c r="T700" s="23" t="s">
        <v>4931</v>
      </c>
      <c r="U700" s="3">
        <v>34</v>
      </c>
      <c r="W700" s="45" t="str">
        <f>HYPERLINK("http://ictvonline.org/taxonomy/p/taxonomy-history?taxnode_id=201856194","ICTVonline=201856194")</f>
        <v>ICTVonline=201856194</v>
      </c>
      <c r="AA700" s="1">
        <v>201850000</v>
      </c>
      <c r="AB700" s="1">
        <v>34</v>
      </c>
    </row>
    <row r="701" spans="1:28" x14ac:dyDescent="0.15">
      <c r="A701" s="1">
        <v>1943</v>
      </c>
      <c r="B701" s="1" t="s">
        <v>7159</v>
      </c>
      <c r="J701" s="1" t="s">
        <v>1439</v>
      </c>
      <c r="K701" s="1" t="s">
        <v>5894</v>
      </c>
      <c r="L701" s="1" t="s">
        <v>1071</v>
      </c>
      <c r="M701" s="1" t="s">
        <v>5907</v>
      </c>
      <c r="N701" s="1" t="s">
        <v>1072</v>
      </c>
      <c r="O701" s="1" t="s">
        <v>5908</v>
      </c>
      <c r="P701" s="1" t="s">
        <v>1073</v>
      </c>
      <c r="Q701" s="3">
        <v>1</v>
      </c>
      <c r="S701" s="23" t="s">
        <v>5949</v>
      </c>
      <c r="T701" s="23" t="s">
        <v>4931</v>
      </c>
      <c r="U701" s="3">
        <v>34</v>
      </c>
      <c r="W701" s="45" t="str">
        <f>HYPERLINK("http://ictvonline.org/taxonomy/p/taxonomy-history?taxnode_id=201851909","ICTVonline=201851909")</f>
        <v>ICTVonline=201851909</v>
      </c>
      <c r="AA701" s="1">
        <v>201850000</v>
      </c>
      <c r="AB701" s="1">
        <v>34</v>
      </c>
    </row>
    <row r="702" spans="1:28" x14ac:dyDescent="0.15">
      <c r="A702" s="1">
        <v>1945</v>
      </c>
      <c r="B702" s="1" t="s">
        <v>7159</v>
      </c>
      <c r="J702" s="1" t="s">
        <v>1439</v>
      </c>
      <c r="K702" s="1" t="s">
        <v>5894</v>
      </c>
      <c r="L702" s="1" t="s">
        <v>1071</v>
      </c>
      <c r="M702" s="1" t="s">
        <v>5907</v>
      </c>
      <c r="N702" s="1" t="s">
        <v>1072</v>
      </c>
      <c r="O702" s="1" t="s">
        <v>5908</v>
      </c>
      <c r="P702" s="1" t="s">
        <v>5909</v>
      </c>
      <c r="Q702" s="3">
        <v>0</v>
      </c>
      <c r="S702" s="23" t="s">
        <v>5949</v>
      </c>
      <c r="T702" s="23" t="s">
        <v>4931</v>
      </c>
      <c r="U702" s="3">
        <v>34</v>
      </c>
      <c r="W702" s="45" t="str">
        <f>HYPERLINK("http://ictvonline.org/taxonomy/p/taxonomy-history?taxnode_id=201856183","ICTVonline=201856183")</f>
        <v>ICTVonline=201856183</v>
      </c>
      <c r="AA702" s="1">
        <v>201850000</v>
      </c>
      <c r="AB702" s="1">
        <v>34</v>
      </c>
    </row>
    <row r="703" spans="1:28" x14ac:dyDescent="0.15">
      <c r="A703" s="1">
        <v>1957</v>
      </c>
      <c r="B703" s="1" t="s">
        <v>7159</v>
      </c>
      <c r="J703" s="1" t="s">
        <v>1439</v>
      </c>
      <c r="K703" s="1" t="s">
        <v>5910</v>
      </c>
      <c r="L703" s="1" t="s">
        <v>5911</v>
      </c>
      <c r="M703" s="1" t="s">
        <v>5912</v>
      </c>
      <c r="N703" s="1" t="s">
        <v>307</v>
      </c>
      <c r="O703" s="1" t="s">
        <v>5925</v>
      </c>
      <c r="P703" s="1" t="s">
        <v>308</v>
      </c>
      <c r="Q703" s="3">
        <v>1</v>
      </c>
      <c r="S703" s="23" t="s">
        <v>5949</v>
      </c>
      <c r="T703" s="23" t="s">
        <v>4931</v>
      </c>
      <c r="U703" s="3">
        <v>34</v>
      </c>
      <c r="W703" s="45" t="str">
        <f>HYPERLINK("http://ictvonline.org/taxonomy/p/taxonomy-history?taxnode_id=201851885","ICTVonline=201851885")</f>
        <v>ICTVonline=201851885</v>
      </c>
      <c r="AA703" s="1">
        <v>201850000</v>
      </c>
      <c r="AB703" s="1">
        <v>34</v>
      </c>
    </row>
    <row r="704" spans="1:28" x14ac:dyDescent="0.15">
      <c r="A704" s="1">
        <v>1961</v>
      </c>
      <c r="B704" s="1" t="s">
        <v>7159</v>
      </c>
      <c r="J704" s="1" t="s">
        <v>1439</v>
      </c>
      <c r="K704" s="1" t="s">
        <v>5910</v>
      </c>
      <c r="L704" s="1" t="s">
        <v>5911</v>
      </c>
      <c r="M704" s="1" t="s">
        <v>5912</v>
      </c>
      <c r="N704" s="1" t="s">
        <v>307</v>
      </c>
      <c r="O704" s="1" t="s">
        <v>5913</v>
      </c>
      <c r="P704" s="1" t="s">
        <v>3634</v>
      </c>
      <c r="Q704" s="3">
        <v>0</v>
      </c>
      <c r="S704" s="23" t="s">
        <v>5949</v>
      </c>
      <c r="T704" s="23" t="s">
        <v>4931</v>
      </c>
      <c r="U704" s="3">
        <v>34</v>
      </c>
      <c r="W704" s="45" t="str">
        <f>HYPERLINK("http://ictvonline.org/taxonomy/p/taxonomy-history?taxnode_id=201851884","ICTVonline=201851884")</f>
        <v>ICTVonline=201851884</v>
      </c>
      <c r="AA704" s="1">
        <v>201850000</v>
      </c>
      <c r="AB704" s="1">
        <v>34</v>
      </c>
    </row>
    <row r="705" spans="1:28" x14ac:dyDescent="0.15">
      <c r="A705" s="1">
        <v>1967</v>
      </c>
      <c r="B705" s="1" t="s">
        <v>7159</v>
      </c>
      <c r="J705" s="1" t="s">
        <v>1439</v>
      </c>
      <c r="K705" s="1" t="s">
        <v>5910</v>
      </c>
      <c r="L705" s="1" t="s">
        <v>5911</v>
      </c>
      <c r="M705" s="1" t="s">
        <v>5912</v>
      </c>
      <c r="N705" s="1" t="s">
        <v>5914</v>
      </c>
      <c r="O705" s="1" t="s">
        <v>5915</v>
      </c>
      <c r="P705" s="1" t="s">
        <v>4579</v>
      </c>
      <c r="Q705" s="3">
        <v>1</v>
      </c>
      <c r="S705" s="23" t="s">
        <v>5949</v>
      </c>
      <c r="T705" s="23" t="s">
        <v>4931</v>
      </c>
      <c r="U705" s="3">
        <v>34</v>
      </c>
      <c r="W705" s="45" t="str">
        <f>HYPERLINK("http://ictvonline.org/taxonomy/p/taxonomy-history?taxnode_id=201851894","ICTVonline=201851894")</f>
        <v>ICTVonline=201851894</v>
      </c>
      <c r="AA705" s="1">
        <v>201850000</v>
      </c>
      <c r="AB705" s="1">
        <v>34</v>
      </c>
    </row>
    <row r="706" spans="1:28" x14ac:dyDescent="0.15">
      <c r="A706" s="1">
        <v>1975</v>
      </c>
      <c r="B706" s="1" t="s">
        <v>7159</v>
      </c>
      <c r="J706" s="1" t="s">
        <v>1439</v>
      </c>
      <c r="K706" s="1" t="s">
        <v>5910</v>
      </c>
      <c r="L706" s="1" t="s">
        <v>5911</v>
      </c>
      <c r="M706" s="1" t="s">
        <v>5916</v>
      </c>
      <c r="N706" s="1" t="s">
        <v>5917</v>
      </c>
      <c r="O706" s="1" t="s">
        <v>5918</v>
      </c>
      <c r="P706" s="1" t="s">
        <v>4578</v>
      </c>
      <c r="Q706" s="3">
        <v>1</v>
      </c>
      <c r="S706" s="23" t="s">
        <v>5949</v>
      </c>
      <c r="T706" s="23" t="s">
        <v>4931</v>
      </c>
      <c r="U706" s="3">
        <v>34</v>
      </c>
      <c r="W706" s="45" t="str">
        <f>HYPERLINK("http://ictvonline.org/taxonomy/p/taxonomy-history?taxnode_id=201851893","ICTVonline=201851893")</f>
        <v>ICTVonline=201851893</v>
      </c>
      <c r="AA706" s="1">
        <v>201850000</v>
      </c>
      <c r="AB706" s="1">
        <v>34</v>
      </c>
    </row>
    <row r="707" spans="1:28" x14ac:dyDescent="0.15">
      <c r="A707" s="1">
        <v>1983</v>
      </c>
      <c r="B707" s="1" t="s">
        <v>7159</v>
      </c>
      <c r="J707" s="1" t="s">
        <v>1439</v>
      </c>
      <c r="K707" s="1" t="s">
        <v>5910</v>
      </c>
      <c r="L707" s="1" t="s">
        <v>5911</v>
      </c>
      <c r="M707" s="1" t="s">
        <v>5919</v>
      </c>
      <c r="N707" s="1" t="s">
        <v>5920</v>
      </c>
      <c r="O707" s="1" t="s">
        <v>5921</v>
      </c>
      <c r="P707" s="1" t="s">
        <v>5922</v>
      </c>
      <c r="Q707" s="3">
        <v>1</v>
      </c>
      <c r="S707" s="23" t="s">
        <v>5949</v>
      </c>
      <c r="T707" s="23" t="s">
        <v>4931</v>
      </c>
      <c r="U707" s="3">
        <v>34</v>
      </c>
      <c r="W707" s="45" t="str">
        <f>HYPERLINK("http://ictvonline.org/taxonomy/p/taxonomy-history?taxnode_id=201856154","ICTVonline=201856154")</f>
        <v>ICTVonline=201856154</v>
      </c>
      <c r="AA707" s="1">
        <v>201850000</v>
      </c>
      <c r="AB707" s="1">
        <v>34</v>
      </c>
    </row>
    <row r="708" spans="1:28" x14ac:dyDescent="0.15">
      <c r="A708" s="1">
        <v>1989</v>
      </c>
      <c r="B708" s="1" t="s">
        <v>7159</v>
      </c>
      <c r="J708" s="1" t="s">
        <v>1439</v>
      </c>
      <c r="K708" s="1" t="s">
        <v>5910</v>
      </c>
      <c r="L708" s="1" t="s">
        <v>5911</v>
      </c>
      <c r="M708" s="1" t="s">
        <v>5919</v>
      </c>
      <c r="N708" s="1" t="s">
        <v>5923</v>
      </c>
      <c r="O708" s="1" t="s">
        <v>5924</v>
      </c>
      <c r="P708" s="1" t="s">
        <v>3635</v>
      </c>
      <c r="Q708" s="3">
        <v>1</v>
      </c>
      <c r="S708" s="23" t="s">
        <v>5949</v>
      </c>
      <c r="T708" s="23" t="s">
        <v>4931</v>
      </c>
      <c r="U708" s="3">
        <v>34</v>
      </c>
      <c r="W708" s="45" t="str">
        <f>HYPERLINK("http://ictvonline.org/taxonomy/p/taxonomy-history?taxnode_id=201851892","ICTVonline=201851892")</f>
        <v>ICTVonline=201851892</v>
      </c>
      <c r="AA708" s="1">
        <v>201850000</v>
      </c>
      <c r="AB708" s="1">
        <v>34</v>
      </c>
    </row>
    <row r="709" spans="1:28" x14ac:dyDescent="0.15">
      <c r="A709" s="1">
        <v>1995</v>
      </c>
      <c r="B709" s="1" t="s">
        <v>7159</v>
      </c>
      <c r="J709" s="1" t="s">
        <v>1439</v>
      </c>
      <c r="K709" s="1" t="s">
        <v>5910</v>
      </c>
      <c r="L709" s="1" t="s">
        <v>5911</v>
      </c>
      <c r="M709" s="1" t="s">
        <v>5919</v>
      </c>
      <c r="N709" s="1" t="s">
        <v>5926</v>
      </c>
      <c r="O709" s="1" t="s">
        <v>5927</v>
      </c>
      <c r="P709" s="1" t="s">
        <v>5928</v>
      </c>
      <c r="Q709" s="3">
        <v>1</v>
      </c>
      <c r="S709" s="23" t="s">
        <v>5949</v>
      </c>
      <c r="T709" s="23" t="s">
        <v>4931</v>
      </c>
      <c r="U709" s="3">
        <v>34</v>
      </c>
      <c r="W709" s="45" t="str">
        <f>HYPERLINK("http://ictvonline.org/taxonomy/p/taxonomy-history?taxnode_id=201856155","ICTVonline=201856155")</f>
        <v>ICTVonline=201856155</v>
      </c>
      <c r="AA709" s="1">
        <v>201850000</v>
      </c>
      <c r="AB709" s="1">
        <v>34</v>
      </c>
    </row>
    <row r="710" spans="1:28" x14ac:dyDescent="0.15">
      <c r="A710" s="1">
        <v>2001</v>
      </c>
      <c r="B710" s="1" t="s">
        <v>7159</v>
      </c>
      <c r="J710" s="1" t="s">
        <v>1439</v>
      </c>
      <c r="K710" s="1" t="s">
        <v>5910</v>
      </c>
      <c r="L710" s="1" t="s">
        <v>5911</v>
      </c>
      <c r="M710" s="1" t="s">
        <v>5919</v>
      </c>
      <c r="N710" s="1" t="s">
        <v>5929</v>
      </c>
      <c r="O710" s="1" t="s">
        <v>5930</v>
      </c>
      <c r="P710" s="1" t="s">
        <v>5931</v>
      </c>
      <c r="Q710" s="3">
        <v>1</v>
      </c>
      <c r="S710" s="23" t="s">
        <v>5949</v>
      </c>
      <c r="T710" s="23" t="s">
        <v>4931</v>
      </c>
      <c r="U710" s="3">
        <v>34</v>
      </c>
      <c r="W710" s="45" t="str">
        <f>HYPERLINK("http://ictvonline.org/taxonomy/p/taxonomy-history?taxnode_id=201856156","ICTVonline=201856156")</f>
        <v>ICTVonline=201856156</v>
      </c>
      <c r="AA710" s="1">
        <v>201850000</v>
      </c>
      <c r="AB710" s="1">
        <v>34</v>
      </c>
    </row>
    <row r="711" spans="1:28" x14ac:dyDescent="0.15">
      <c r="A711" s="1">
        <v>2009</v>
      </c>
      <c r="B711" s="1" t="s">
        <v>7159</v>
      </c>
      <c r="J711" s="1" t="s">
        <v>1439</v>
      </c>
      <c r="K711" s="1" t="s">
        <v>5910</v>
      </c>
      <c r="L711" s="1" t="s">
        <v>5911</v>
      </c>
      <c r="M711" s="1" t="s">
        <v>434</v>
      </c>
      <c r="N711" s="1" t="s">
        <v>1068</v>
      </c>
      <c r="O711" s="1" t="s">
        <v>5932</v>
      </c>
      <c r="P711" s="1" t="s">
        <v>1069</v>
      </c>
      <c r="Q711" s="3">
        <v>0</v>
      </c>
      <c r="S711" s="23" t="s">
        <v>5949</v>
      </c>
      <c r="T711" s="23" t="s">
        <v>4931</v>
      </c>
      <c r="U711" s="3">
        <v>34</v>
      </c>
      <c r="W711" s="45" t="str">
        <f>HYPERLINK("http://ictvonline.org/taxonomy/p/taxonomy-history?taxnode_id=201851887","ICTVonline=201851887")</f>
        <v>ICTVonline=201851887</v>
      </c>
      <c r="AA711" s="1">
        <v>201850000</v>
      </c>
      <c r="AB711" s="1">
        <v>34</v>
      </c>
    </row>
    <row r="712" spans="1:28" x14ac:dyDescent="0.15">
      <c r="A712" s="1">
        <v>2011</v>
      </c>
      <c r="B712" s="1" t="s">
        <v>7159</v>
      </c>
      <c r="J712" s="1" t="s">
        <v>1439</v>
      </c>
      <c r="K712" s="1" t="s">
        <v>5910</v>
      </c>
      <c r="L712" s="1" t="s">
        <v>5911</v>
      </c>
      <c r="M712" s="1" t="s">
        <v>434</v>
      </c>
      <c r="N712" s="1" t="s">
        <v>1068</v>
      </c>
      <c r="O712" s="1" t="s">
        <v>5932</v>
      </c>
      <c r="P712" s="1" t="s">
        <v>685</v>
      </c>
      <c r="Q712" s="3">
        <v>1</v>
      </c>
      <c r="S712" s="23" t="s">
        <v>5949</v>
      </c>
      <c r="T712" s="23" t="s">
        <v>4931</v>
      </c>
      <c r="U712" s="3">
        <v>34</v>
      </c>
      <c r="W712" s="45" t="str">
        <f>HYPERLINK("http://ictvonline.org/taxonomy/p/taxonomy-history?taxnode_id=201851888","ICTVonline=201851888")</f>
        <v>ICTVonline=201851888</v>
      </c>
      <c r="AA712" s="1">
        <v>201850000</v>
      </c>
      <c r="AB712" s="1">
        <v>34</v>
      </c>
    </row>
    <row r="713" spans="1:28" x14ac:dyDescent="0.15">
      <c r="A713" s="1">
        <v>2013</v>
      </c>
      <c r="B713" s="1" t="s">
        <v>7159</v>
      </c>
      <c r="J713" s="1" t="s">
        <v>1439</v>
      </c>
      <c r="K713" s="1" t="s">
        <v>5910</v>
      </c>
      <c r="L713" s="1" t="s">
        <v>5911</v>
      </c>
      <c r="M713" s="1" t="s">
        <v>434</v>
      </c>
      <c r="N713" s="1" t="s">
        <v>1068</v>
      </c>
      <c r="O713" s="1" t="s">
        <v>5932</v>
      </c>
      <c r="P713" s="1" t="s">
        <v>1070</v>
      </c>
      <c r="Q713" s="3">
        <v>0</v>
      </c>
      <c r="S713" s="23" t="s">
        <v>5949</v>
      </c>
      <c r="T713" s="23" t="s">
        <v>4931</v>
      </c>
      <c r="U713" s="3">
        <v>34</v>
      </c>
      <c r="W713" s="45" t="str">
        <f>HYPERLINK("http://ictvonline.org/taxonomy/p/taxonomy-history?taxnode_id=201851890","ICTVonline=201851890")</f>
        <v>ICTVonline=201851890</v>
      </c>
      <c r="AA713" s="1">
        <v>201850000</v>
      </c>
      <c r="AB713" s="1">
        <v>34</v>
      </c>
    </row>
    <row r="714" spans="1:28" x14ac:dyDescent="0.15">
      <c r="A714" s="1">
        <v>2024</v>
      </c>
      <c r="B714" s="1" t="s">
        <v>7159</v>
      </c>
      <c r="J714" s="1" t="s">
        <v>1074</v>
      </c>
      <c r="L714" s="1" t="s">
        <v>1035</v>
      </c>
      <c r="N714" s="1" t="s">
        <v>1361</v>
      </c>
      <c r="P714" s="1" t="s">
        <v>1032</v>
      </c>
      <c r="Q714" s="3">
        <v>1</v>
      </c>
      <c r="S714" s="23" t="s">
        <v>5949</v>
      </c>
      <c r="T714" s="23" t="s">
        <v>4931</v>
      </c>
      <c r="U714" s="3">
        <v>34</v>
      </c>
      <c r="W714" s="45" t="str">
        <f>HYPERLINK("http://ictvonline.org/taxonomy/p/taxonomy-history?taxnode_id=201851914","ICTVonline=201851914")</f>
        <v>ICTVonline=201851914</v>
      </c>
      <c r="AA714" s="1">
        <v>201850000</v>
      </c>
      <c r="AB714" s="1">
        <v>34</v>
      </c>
    </row>
    <row r="715" spans="1:28" x14ac:dyDescent="0.15">
      <c r="A715" s="1">
        <v>2026</v>
      </c>
      <c r="B715" s="1" t="s">
        <v>7159</v>
      </c>
      <c r="J715" s="1" t="s">
        <v>1074</v>
      </c>
      <c r="L715" s="1" t="s">
        <v>1035</v>
      </c>
      <c r="N715" s="1" t="s">
        <v>1361</v>
      </c>
      <c r="P715" s="1" t="s">
        <v>1362</v>
      </c>
      <c r="Q715" s="3">
        <v>0</v>
      </c>
      <c r="S715" s="23" t="s">
        <v>5949</v>
      </c>
      <c r="T715" s="23" t="s">
        <v>4931</v>
      </c>
      <c r="U715" s="3">
        <v>34</v>
      </c>
      <c r="W715" s="45" t="str">
        <f>HYPERLINK("http://ictvonline.org/taxonomy/p/taxonomy-history?taxnode_id=201851915","ICTVonline=201851915")</f>
        <v>ICTVonline=201851915</v>
      </c>
      <c r="AA715" s="1">
        <v>201850000</v>
      </c>
      <c r="AB715" s="1">
        <v>34</v>
      </c>
    </row>
    <row r="716" spans="1:28" x14ac:dyDescent="0.15">
      <c r="A716" s="1">
        <v>2028</v>
      </c>
      <c r="B716" s="1" t="s">
        <v>7159</v>
      </c>
      <c r="J716" s="1" t="s">
        <v>1074</v>
      </c>
      <c r="L716" s="1" t="s">
        <v>1035</v>
      </c>
      <c r="N716" s="1" t="s">
        <v>1361</v>
      </c>
      <c r="P716" s="1" t="s">
        <v>1033</v>
      </c>
      <c r="Q716" s="3">
        <v>0</v>
      </c>
      <c r="S716" s="23" t="s">
        <v>5949</v>
      </c>
      <c r="T716" s="23" t="s">
        <v>4931</v>
      </c>
      <c r="U716" s="3">
        <v>34</v>
      </c>
      <c r="W716" s="45" t="str">
        <f>HYPERLINK("http://ictvonline.org/taxonomy/p/taxonomy-history?taxnode_id=201851916","ICTVonline=201851916")</f>
        <v>ICTVonline=201851916</v>
      </c>
      <c r="AA716" s="1">
        <v>201850000</v>
      </c>
      <c r="AB716" s="1">
        <v>34</v>
      </c>
    </row>
    <row r="717" spans="1:28" x14ac:dyDescent="0.15">
      <c r="A717" s="1">
        <v>2030</v>
      </c>
      <c r="B717" s="1" t="s">
        <v>7159</v>
      </c>
      <c r="J717" s="1" t="s">
        <v>1074</v>
      </c>
      <c r="L717" s="1" t="s">
        <v>1035</v>
      </c>
      <c r="N717" s="1" t="s">
        <v>1361</v>
      </c>
      <c r="P717" s="1" t="s">
        <v>2</v>
      </c>
      <c r="Q717" s="3">
        <v>0</v>
      </c>
      <c r="S717" s="23" t="s">
        <v>5949</v>
      </c>
      <c r="T717" s="23" t="s">
        <v>4931</v>
      </c>
      <c r="U717" s="3">
        <v>34</v>
      </c>
      <c r="W717" s="45" t="str">
        <f>HYPERLINK("http://ictvonline.org/taxonomy/p/taxonomy-history?taxnode_id=201851917","ICTVonline=201851917")</f>
        <v>ICTVonline=201851917</v>
      </c>
      <c r="AA717" s="1">
        <v>201850000</v>
      </c>
      <c r="AB717" s="1">
        <v>34</v>
      </c>
    </row>
    <row r="718" spans="1:28" x14ac:dyDescent="0.15">
      <c r="A718" s="1">
        <v>2032</v>
      </c>
      <c r="B718" s="1" t="s">
        <v>7159</v>
      </c>
      <c r="J718" s="1" t="s">
        <v>1074</v>
      </c>
      <c r="L718" s="1" t="s">
        <v>1035</v>
      </c>
      <c r="N718" s="1" t="s">
        <v>1361</v>
      </c>
      <c r="P718" s="1" t="s">
        <v>5154</v>
      </c>
      <c r="Q718" s="3">
        <v>0</v>
      </c>
      <c r="S718" s="23" t="s">
        <v>5949</v>
      </c>
      <c r="T718" s="23" t="s">
        <v>4931</v>
      </c>
      <c r="U718" s="3">
        <v>34</v>
      </c>
      <c r="W718" s="45" t="str">
        <f>HYPERLINK("http://ictvonline.org/taxonomy/p/taxonomy-history?taxnode_id=201851918","ICTVonline=201851918")</f>
        <v>ICTVonline=201851918</v>
      </c>
      <c r="AA718" s="1">
        <v>201850000</v>
      </c>
      <c r="AB718" s="1">
        <v>34</v>
      </c>
    </row>
    <row r="719" spans="1:28" x14ac:dyDescent="0.15">
      <c r="A719" s="1">
        <v>2034</v>
      </c>
      <c r="B719" s="1" t="s">
        <v>7159</v>
      </c>
      <c r="J719" s="1" t="s">
        <v>1074</v>
      </c>
      <c r="L719" s="1" t="s">
        <v>1035</v>
      </c>
      <c r="N719" s="1" t="s">
        <v>1361</v>
      </c>
      <c r="P719" s="1" t="s">
        <v>1034</v>
      </c>
      <c r="Q719" s="3">
        <v>0</v>
      </c>
      <c r="S719" s="23" t="s">
        <v>5949</v>
      </c>
      <c r="T719" s="23" t="s">
        <v>4931</v>
      </c>
      <c r="U719" s="3">
        <v>34</v>
      </c>
      <c r="W719" s="45" t="str">
        <f>HYPERLINK("http://ictvonline.org/taxonomy/p/taxonomy-history?taxnode_id=201851919","ICTVonline=201851919")</f>
        <v>ICTVonline=201851919</v>
      </c>
      <c r="AA719" s="1">
        <v>201850000</v>
      </c>
      <c r="AB719" s="1">
        <v>34</v>
      </c>
    </row>
    <row r="720" spans="1:28" x14ac:dyDescent="0.15">
      <c r="A720" s="1">
        <v>2038</v>
      </c>
      <c r="B720" s="1" t="s">
        <v>7159</v>
      </c>
      <c r="J720" s="1" t="s">
        <v>1074</v>
      </c>
      <c r="L720" s="1" t="s">
        <v>1035</v>
      </c>
      <c r="N720" s="1" t="s">
        <v>1036</v>
      </c>
      <c r="P720" s="1" t="s">
        <v>1037</v>
      </c>
      <c r="Q720" s="3">
        <v>0</v>
      </c>
      <c r="S720" s="23" t="s">
        <v>5949</v>
      </c>
      <c r="T720" s="23" t="s">
        <v>4931</v>
      </c>
      <c r="U720" s="3">
        <v>34</v>
      </c>
      <c r="W720" s="45" t="str">
        <f>HYPERLINK("http://ictvonline.org/taxonomy/p/taxonomy-history?taxnode_id=201851921","ICTVonline=201851921")</f>
        <v>ICTVonline=201851921</v>
      </c>
      <c r="AA720" s="1">
        <v>201850000</v>
      </c>
      <c r="AB720" s="1">
        <v>34</v>
      </c>
    </row>
    <row r="721" spans="1:28" x14ac:dyDescent="0.15">
      <c r="A721" s="1">
        <v>2040</v>
      </c>
      <c r="B721" s="1" t="s">
        <v>7159</v>
      </c>
      <c r="J721" s="1" t="s">
        <v>1074</v>
      </c>
      <c r="L721" s="1" t="s">
        <v>1035</v>
      </c>
      <c r="N721" s="1" t="s">
        <v>1036</v>
      </c>
      <c r="P721" s="1" t="s">
        <v>1039</v>
      </c>
      <c r="Q721" s="3">
        <v>1</v>
      </c>
      <c r="S721" s="23" t="s">
        <v>5949</v>
      </c>
      <c r="T721" s="23" t="s">
        <v>4931</v>
      </c>
      <c r="U721" s="3">
        <v>34</v>
      </c>
      <c r="W721" s="45" t="str">
        <f>HYPERLINK("http://ictvonline.org/taxonomy/p/taxonomy-history?taxnode_id=201851922","ICTVonline=201851922")</f>
        <v>ICTVonline=201851922</v>
      </c>
      <c r="AA721" s="1">
        <v>201850000</v>
      </c>
      <c r="AB721" s="1">
        <v>34</v>
      </c>
    </row>
    <row r="722" spans="1:28" x14ac:dyDescent="0.15">
      <c r="A722" s="1">
        <v>2042</v>
      </c>
      <c r="B722" s="1" t="s">
        <v>7159</v>
      </c>
      <c r="J722" s="1" t="s">
        <v>1074</v>
      </c>
      <c r="L722" s="1" t="s">
        <v>1035</v>
      </c>
      <c r="N722" s="1" t="s">
        <v>1036</v>
      </c>
      <c r="P722" s="1" t="s">
        <v>1040</v>
      </c>
      <c r="Q722" s="3">
        <v>0</v>
      </c>
      <c r="S722" s="23" t="s">
        <v>5949</v>
      </c>
      <c r="T722" s="23" t="s">
        <v>4931</v>
      </c>
      <c r="U722" s="3">
        <v>34</v>
      </c>
      <c r="W722" s="45" t="str">
        <f>HYPERLINK("http://ictvonline.org/taxonomy/p/taxonomy-history?taxnode_id=201851923","ICTVonline=201851923")</f>
        <v>ICTVonline=201851923</v>
      </c>
      <c r="AA722" s="1">
        <v>201850000</v>
      </c>
      <c r="AB722" s="1">
        <v>34</v>
      </c>
    </row>
    <row r="723" spans="1:28" x14ac:dyDescent="0.15">
      <c r="A723" s="1">
        <v>2044</v>
      </c>
      <c r="B723" s="1" t="s">
        <v>7159</v>
      </c>
      <c r="J723" s="1" t="s">
        <v>1074</v>
      </c>
      <c r="L723" s="1" t="s">
        <v>1035</v>
      </c>
      <c r="N723" s="1" t="s">
        <v>1036</v>
      </c>
      <c r="P723" s="1" t="s">
        <v>1042</v>
      </c>
      <c r="Q723" s="3">
        <v>0</v>
      </c>
      <c r="S723" s="23" t="s">
        <v>5949</v>
      </c>
      <c r="T723" s="23" t="s">
        <v>4931</v>
      </c>
      <c r="U723" s="3">
        <v>34</v>
      </c>
      <c r="W723" s="45" t="str">
        <f>HYPERLINK("http://ictvonline.org/taxonomy/p/taxonomy-history?taxnode_id=201851924","ICTVonline=201851924")</f>
        <v>ICTVonline=201851924</v>
      </c>
      <c r="AA723" s="1">
        <v>201850000</v>
      </c>
      <c r="AB723" s="1">
        <v>34</v>
      </c>
    </row>
    <row r="724" spans="1:28" x14ac:dyDescent="0.15">
      <c r="A724" s="1">
        <v>2048</v>
      </c>
      <c r="B724" s="1" t="s">
        <v>7159</v>
      </c>
      <c r="J724" s="1" t="s">
        <v>1074</v>
      </c>
      <c r="L724" s="1" t="s">
        <v>1035</v>
      </c>
      <c r="N724" s="1" t="s">
        <v>3640</v>
      </c>
      <c r="P724" s="1" t="s">
        <v>1038</v>
      </c>
      <c r="Q724" s="3">
        <v>0</v>
      </c>
      <c r="S724" s="23" t="s">
        <v>5949</v>
      </c>
      <c r="T724" s="23" t="s">
        <v>4931</v>
      </c>
      <c r="U724" s="3">
        <v>34</v>
      </c>
      <c r="W724" s="45" t="str">
        <f>HYPERLINK("http://ictvonline.org/taxonomy/p/taxonomy-history?taxnode_id=201851926","ICTVonline=201851926")</f>
        <v>ICTVonline=201851926</v>
      </c>
      <c r="AA724" s="1">
        <v>201850000</v>
      </c>
      <c r="AB724" s="1">
        <v>34</v>
      </c>
    </row>
    <row r="725" spans="1:28" x14ac:dyDescent="0.15">
      <c r="A725" s="1">
        <v>2050</v>
      </c>
      <c r="B725" s="1" t="s">
        <v>7159</v>
      </c>
      <c r="J725" s="1" t="s">
        <v>1074</v>
      </c>
      <c r="L725" s="1" t="s">
        <v>1035</v>
      </c>
      <c r="N725" s="1" t="s">
        <v>3640</v>
      </c>
      <c r="P725" s="1" t="s">
        <v>1432</v>
      </c>
      <c r="Q725" s="3">
        <v>0</v>
      </c>
      <c r="S725" s="23" t="s">
        <v>5949</v>
      </c>
      <c r="T725" s="23" t="s">
        <v>4931</v>
      </c>
      <c r="U725" s="3">
        <v>34</v>
      </c>
      <c r="W725" s="45" t="str">
        <f>HYPERLINK("http://ictvonline.org/taxonomy/p/taxonomy-history?taxnode_id=201851927","ICTVonline=201851927")</f>
        <v>ICTVonline=201851927</v>
      </c>
      <c r="AA725" s="1">
        <v>201850000</v>
      </c>
      <c r="AB725" s="1">
        <v>34</v>
      </c>
    </row>
    <row r="726" spans="1:28" x14ac:dyDescent="0.15">
      <c r="A726" s="1">
        <v>2052</v>
      </c>
      <c r="B726" s="1" t="s">
        <v>7159</v>
      </c>
      <c r="J726" s="1" t="s">
        <v>1074</v>
      </c>
      <c r="L726" s="1" t="s">
        <v>1035</v>
      </c>
      <c r="N726" s="1" t="s">
        <v>3640</v>
      </c>
      <c r="P726" s="1" t="s">
        <v>5155</v>
      </c>
      <c r="Q726" s="3">
        <v>0</v>
      </c>
      <c r="S726" s="23" t="s">
        <v>5949</v>
      </c>
      <c r="T726" s="23" t="s">
        <v>4931</v>
      </c>
      <c r="U726" s="3">
        <v>34</v>
      </c>
      <c r="W726" s="45" t="str">
        <f>HYPERLINK("http://ictvonline.org/taxonomy/p/taxonomy-history?taxnode_id=201851928","ICTVonline=201851928")</f>
        <v>ICTVonline=201851928</v>
      </c>
      <c r="AA726" s="1">
        <v>201850000</v>
      </c>
      <c r="AB726" s="1">
        <v>34</v>
      </c>
    </row>
    <row r="727" spans="1:28" x14ac:dyDescent="0.15">
      <c r="A727" s="1">
        <v>2054</v>
      </c>
      <c r="B727" s="1" t="s">
        <v>7159</v>
      </c>
      <c r="J727" s="1" t="s">
        <v>1074</v>
      </c>
      <c r="L727" s="1" t="s">
        <v>1035</v>
      </c>
      <c r="N727" s="1" t="s">
        <v>3640</v>
      </c>
      <c r="P727" s="1" t="s">
        <v>1041</v>
      </c>
      <c r="Q727" s="3">
        <v>0</v>
      </c>
      <c r="S727" s="23" t="s">
        <v>5949</v>
      </c>
      <c r="T727" s="23" t="s">
        <v>4931</v>
      </c>
      <c r="U727" s="3">
        <v>34</v>
      </c>
      <c r="W727" s="45" t="str">
        <f>HYPERLINK("http://ictvonline.org/taxonomy/p/taxonomy-history?taxnode_id=201851929","ICTVonline=201851929")</f>
        <v>ICTVonline=201851929</v>
      </c>
      <c r="AA727" s="1">
        <v>201850000</v>
      </c>
      <c r="AB727" s="1">
        <v>34</v>
      </c>
    </row>
    <row r="728" spans="1:28" x14ac:dyDescent="0.15">
      <c r="A728" s="1">
        <v>2056</v>
      </c>
      <c r="B728" s="1" t="s">
        <v>7159</v>
      </c>
      <c r="J728" s="1" t="s">
        <v>1074</v>
      </c>
      <c r="L728" s="1" t="s">
        <v>1035</v>
      </c>
      <c r="N728" s="1" t="s">
        <v>3640</v>
      </c>
      <c r="P728" s="1" t="s">
        <v>1031</v>
      </c>
      <c r="Q728" s="3">
        <v>1</v>
      </c>
      <c r="S728" s="23" t="s">
        <v>5949</v>
      </c>
      <c r="T728" s="23" t="s">
        <v>4931</v>
      </c>
      <c r="U728" s="3">
        <v>34</v>
      </c>
      <c r="W728" s="45" t="str">
        <f>HYPERLINK("http://ictvonline.org/taxonomy/p/taxonomy-history?taxnode_id=201851930","ICTVonline=201851930")</f>
        <v>ICTVonline=201851930</v>
      </c>
      <c r="AA728" s="1">
        <v>201850000</v>
      </c>
      <c r="AB728" s="1">
        <v>34</v>
      </c>
    </row>
    <row r="729" spans="1:28" x14ac:dyDescent="0.15">
      <c r="A729" s="1">
        <v>2062</v>
      </c>
      <c r="B729" s="1" t="s">
        <v>7159</v>
      </c>
      <c r="J729" s="1" t="s">
        <v>1074</v>
      </c>
      <c r="L729" s="1" t="s">
        <v>1109</v>
      </c>
      <c r="N729" s="1" t="s">
        <v>1110</v>
      </c>
      <c r="P729" s="1" t="s">
        <v>3641</v>
      </c>
      <c r="Q729" s="3">
        <v>0</v>
      </c>
      <c r="S729" s="23" t="s">
        <v>5949</v>
      </c>
      <c r="T729" s="23" t="s">
        <v>4931</v>
      </c>
      <c r="U729" s="3">
        <v>34</v>
      </c>
      <c r="W729" s="45" t="str">
        <f>HYPERLINK("http://ictvonline.org/taxonomy/p/taxonomy-history?taxnode_id=201851934","ICTVonline=201851934")</f>
        <v>ICTVonline=201851934</v>
      </c>
      <c r="AA729" s="1">
        <v>201850000</v>
      </c>
      <c r="AB729" s="1">
        <v>34</v>
      </c>
    </row>
    <row r="730" spans="1:28" x14ac:dyDescent="0.15">
      <c r="A730" s="1">
        <v>2064</v>
      </c>
      <c r="B730" s="1" t="s">
        <v>7159</v>
      </c>
      <c r="J730" s="1" t="s">
        <v>1074</v>
      </c>
      <c r="L730" s="1" t="s">
        <v>1109</v>
      </c>
      <c r="N730" s="1" t="s">
        <v>1110</v>
      </c>
      <c r="P730" s="1" t="s">
        <v>4580</v>
      </c>
      <c r="Q730" s="3">
        <v>0</v>
      </c>
      <c r="S730" s="23" t="s">
        <v>5949</v>
      </c>
      <c r="T730" s="23" t="s">
        <v>4931</v>
      </c>
      <c r="U730" s="3">
        <v>34</v>
      </c>
      <c r="W730" s="45" t="str">
        <f>HYPERLINK("http://ictvonline.org/taxonomy/p/taxonomy-history?taxnode_id=201851935","ICTVonline=201851935")</f>
        <v>ICTVonline=201851935</v>
      </c>
      <c r="AA730" s="1">
        <v>201850000</v>
      </c>
      <c r="AB730" s="1">
        <v>34</v>
      </c>
    </row>
    <row r="731" spans="1:28" x14ac:dyDescent="0.15">
      <c r="A731" s="1">
        <v>2066</v>
      </c>
      <c r="B731" s="1" t="s">
        <v>7159</v>
      </c>
      <c r="J731" s="1" t="s">
        <v>1074</v>
      </c>
      <c r="L731" s="1" t="s">
        <v>1109</v>
      </c>
      <c r="N731" s="1" t="s">
        <v>1110</v>
      </c>
      <c r="P731" s="1" t="s">
        <v>1111</v>
      </c>
      <c r="Q731" s="3">
        <v>0</v>
      </c>
      <c r="S731" s="23" t="s">
        <v>5949</v>
      </c>
      <c r="T731" s="23" t="s">
        <v>4931</v>
      </c>
      <c r="U731" s="3">
        <v>34</v>
      </c>
      <c r="W731" s="45" t="str">
        <f>HYPERLINK("http://ictvonline.org/taxonomy/p/taxonomy-history?taxnode_id=201851936","ICTVonline=201851936")</f>
        <v>ICTVonline=201851936</v>
      </c>
      <c r="AA731" s="1">
        <v>201850000</v>
      </c>
      <c r="AB731" s="1">
        <v>34</v>
      </c>
    </row>
    <row r="732" spans="1:28" x14ac:dyDescent="0.15">
      <c r="A732" s="1">
        <v>2068</v>
      </c>
      <c r="B732" s="1" t="s">
        <v>7159</v>
      </c>
      <c r="J732" s="1" t="s">
        <v>1074</v>
      </c>
      <c r="L732" s="1" t="s">
        <v>1109</v>
      </c>
      <c r="N732" s="1" t="s">
        <v>1110</v>
      </c>
      <c r="P732" s="1" t="s">
        <v>3642</v>
      </c>
      <c r="Q732" s="3">
        <v>0</v>
      </c>
      <c r="S732" s="23" t="s">
        <v>5949</v>
      </c>
      <c r="T732" s="23" t="s">
        <v>4931</v>
      </c>
      <c r="U732" s="3">
        <v>34</v>
      </c>
      <c r="W732" s="45" t="str">
        <f>HYPERLINK("http://ictvonline.org/taxonomy/p/taxonomy-history?taxnode_id=201851937","ICTVonline=201851937")</f>
        <v>ICTVonline=201851937</v>
      </c>
      <c r="AA732" s="1">
        <v>201850000</v>
      </c>
      <c r="AB732" s="1">
        <v>34</v>
      </c>
    </row>
    <row r="733" spans="1:28" x14ac:dyDescent="0.15">
      <c r="A733" s="1">
        <v>2070</v>
      </c>
      <c r="B733" s="1" t="s">
        <v>7159</v>
      </c>
      <c r="J733" s="1" t="s">
        <v>1074</v>
      </c>
      <c r="L733" s="1" t="s">
        <v>1109</v>
      </c>
      <c r="N733" s="1" t="s">
        <v>1110</v>
      </c>
      <c r="P733" s="1" t="s">
        <v>1112</v>
      </c>
      <c r="Q733" s="3">
        <v>0</v>
      </c>
      <c r="S733" s="23" t="s">
        <v>5949</v>
      </c>
      <c r="T733" s="23" t="s">
        <v>4931</v>
      </c>
      <c r="U733" s="3">
        <v>34</v>
      </c>
      <c r="W733" s="45" t="str">
        <f>HYPERLINK("http://ictvonline.org/taxonomy/p/taxonomy-history?taxnode_id=201851938","ICTVonline=201851938")</f>
        <v>ICTVonline=201851938</v>
      </c>
      <c r="AA733" s="1">
        <v>201850000</v>
      </c>
      <c r="AB733" s="1">
        <v>34</v>
      </c>
    </row>
    <row r="734" spans="1:28" x14ac:dyDescent="0.15">
      <c r="A734" s="1">
        <v>2072</v>
      </c>
      <c r="B734" s="1" t="s">
        <v>7159</v>
      </c>
      <c r="J734" s="1" t="s">
        <v>1074</v>
      </c>
      <c r="L734" s="1" t="s">
        <v>1109</v>
      </c>
      <c r="N734" s="1" t="s">
        <v>1110</v>
      </c>
      <c r="P734" s="1" t="s">
        <v>1113</v>
      </c>
      <c r="Q734" s="3">
        <v>1</v>
      </c>
      <c r="S734" s="23" t="s">
        <v>5949</v>
      </c>
      <c r="T734" s="23" t="s">
        <v>4931</v>
      </c>
      <c r="U734" s="3">
        <v>34</v>
      </c>
      <c r="W734" s="45" t="str">
        <f>HYPERLINK("http://ictvonline.org/taxonomy/p/taxonomy-history?taxnode_id=201851939","ICTVonline=201851939")</f>
        <v>ICTVonline=201851939</v>
      </c>
      <c r="AA734" s="1">
        <v>201850000</v>
      </c>
      <c r="AB734" s="1">
        <v>34</v>
      </c>
    </row>
    <row r="735" spans="1:28" x14ac:dyDescent="0.15">
      <c r="A735" s="1">
        <v>2074</v>
      </c>
      <c r="B735" s="1" t="s">
        <v>7159</v>
      </c>
      <c r="J735" s="1" t="s">
        <v>1074</v>
      </c>
      <c r="L735" s="1" t="s">
        <v>1109</v>
      </c>
      <c r="N735" s="1" t="s">
        <v>1110</v>
      </c>
      <c r="P735" s="1" t="s">
        <v>2301</v>
      </c>
      <c r="Q735" s="3">
        <v>0</v>
      </c>
      <c r="S735" s="23" t="s">
        <v>5949</v>
      </c>
      <c r="T735" s="23" t="s">
        <v>4931</v>
      </c>
      <c r="U735" s="3">
        <v>34</v>
      </c>
      <c r="W735" s="45" t="str">
        <f>HYPERLINK("http://ictvonline.org/taxonomy/p/taxonomy-history?taxnode_id=201851940","ICTVonline=201851940")</f>
        <v>ICTVonline=201851940</v>
      </c>
      <c r="AA735" s="1">
        <v>201850000</v>
      </c>
      <c r="AB735" s="1">
        <v>34</v>
      </c>
    </row>
    <row r="736" spans="1:28" x14ac:dyDescent="0.15">
      <c r="A736" s="1">
        <v>2076</v>
      </c>
      <c r="B736" s="1" t="s">
        <v>7159</v>
      </c>
      <c r="J736" s="1" t="s">
        <v>1074</v>
      </c>
      <c r="L736" s="1" t="s">
        <v>1109</v>
      </c>
      <c r="N736" s="1" t="s">
        <v>1110</v>
      </c>
      <c r="P736" s="1" t="s">
        <v>3643</v>
      </c>
      <c r="Q736" s="3">
        <v>0</v>
      </c>
      <c r="S736" s="23" t="s">
        <v>5949</v>
      </c>
      <c r="T736" s="23" t="s">
        <v>4931</v>
      </c>
      <c r="U736" s="3">
        <v>34</v>
      </c>
      <c r="W736" s="45" t="str">
        <f>HYPERLINK("http://ictvonline.org/taxonomy/p/taxonomy-history?taxnode_id=201851941","ICTVonline=201851941")</f>
        <v>ICTVonline=201851941</v>
      </c>
      <c r="AA736" s="1">
        <v>201850000</v>
      </c>
      <c r="AB736" s="1">
        <v>34</v>
      </c>
    </row>
    <row r="737" spans="1:28" x14ac:dyDescent="0.15">
      <c r="A737" s="1">
        <v>2078</v>
      </c>
      <c r="B737" s="1" t="s">
        <v>7159</v>
      </c>
      <c r="J737" s="1" t="s">
        <v>1074</v>
      </c>
      <c r="L737" s="1" t="s">
        <v>1109</v>
      </c>
      <c r="N737" s="1" t="s">
        <v>1110</v>
      </c>
      <c r="P737" s="1" t="s">
        <v>2302</v>
      </c>
      <c r="Q737" s="3">
        <v>0</v>
      </c>
      <c r="S737" s="23" t="s">
        <v>5949</v>
      </c>
      <c r="T737" s="23" t="s">
        <v>4931</v>
      </c>
      <c r="U737" s="3">
        <v>34</v>
      </c>
      <c r="W737" s="45" t="str">
        <f>HYPERLINK("http://ictvonline.org/taxonomy/p/taxonomy-history?taxnode_id=201851942","ICTVonline=201851942")</f>
        <v>ICTVonline=201851942</v>
      </c>
      <c r="AA737" s="1">
        <v>201850000</v>
      </c>
      <c r="AB737" s="1">
        <v>34</v>
      </c>
    </row>
    <row r="738" spans="1:28" x14ac:dyDescent="0.15">
      <c r="A738" s="1">
        <v>2080</v>
      </c>
      <c r="B738" s="1" t="s">
        <v>7159</v>
      </c>
      <c r="J738" s="1" t="s">
        <v>1074</v>
      </c>
      <c r="L738" s="1" t="s">
        <v>1109</v>
      </c>
      <c r="N738" s="1" t="s">
        <v>1110</v>
      </c>
      <c r="P738" s="1" t="s">
        <v>1114</v>
      </c>
      <c r="Q738" s="3">
        <v>0</v>
      </c>
      <c r="S738" s="23" t="s">
        <v>5949</v>
      </c>
      <c r="T738" s="23" t="s">
        <v>4931</v>
      </c>
      <c r="U738" s="3">
        <v>34</v>
      </c>
      <c r="W738" s="45" t="str">
        <f>HYPERLINK("http://ictvonline.org/taxonomy/p/taxonomy-history?taxnode_id=201851943","ICTVonline=201851943")</f>
        <v>ICTVonline=201851943</v>
      </c>
      <c r="AA738" s="1">
        <v>201850000</v>
      </c>
      <c r="AB738" s="1">
        <v>34</v>
      </c>
    </row>
    <row r="739" spans="1:28" x14ac:dyDescent="0.15">
      <c r="A739" s="1">
        <v>2082</v>
      </c>
      <c r="B739" s="1" t="s">
        <v>7159</v>
      </c>
      <c r="J739" s="1" t="s">
        <v>1074</v>
      </c>
      <c r="L739" s="1" t="s">
        <v>1109</v>
      </c>
      <c r="N739" s="1" t="s">
        <v>1110</v>
      </c>
      <c r="P739" s="1" t="s">
        <v>1115</v>
      </c>
      <c r="Q739" s="3">
        <v>0</v>
      </c>
      <c r="S739" s="23" t="s">
        <v>5949</v>
      </c>
      <c r="T739" s="23" t="s">
        <v>4931</v>
      </c>
      <c r="U739" s="3">
        <v>34</v>
      </c>
      <c r="W739" s="45" t="str">
        <f>HYPERLINK("http://ictvonline.org/taxonomy/p/taxonomy-history?taxnode_id=201851944","ICTVonline=201851944")</f>
        <v>ICTVonline=201851944</v>
      </c>
      <c r="AA739" s="1">
        <v>201850000</v>
      </c>
      <c r="AB739" s="1">
        <v>34</v>
      </c>
    </row>
    <row r="740" spans="1:28" x14ac:dyDescent="0.15">
      <c r="A740" s="1">
        <v>2084</v>
      </c>
      <c r="B740" s="1" t="s">
        <v>7159</v>
      </c>
      <c r="J740" s="1" t="s">
        <v>1074</v>
      </c>
      <c r="L740" s="1" t="s">
        <v>1109</v>
      </c>
      <c r="N740" s="1" t="s">
        <v>1110</v>
      </c>
      <c r="P740" s="1" t="s">
        <v>3</v>
      </c>
      <c r="Q740" s="3">
        <v>0</v>
      </c>
      <c r="S740" s="23" t="s">
        <v>5949</v>
      </c>
      <c r="T740" s="23" t="s">
        <v>4931</v>
      </c>
      <c r="U740" s="3">
        <v>34</v>
      </c>
      <c r="W740" s="45" t="str">
        <f>HYPERLINK("http://ictvonline.org/taxonomy/p/taxonomy-history?taxnode_id=201851945","ICTVonline=201851945")</f>
        <v>ICTVonline=201851945</v>
      </c>
      <c r="AA740" s="1">
        <v>201850000</v>
      </c>
      <c r="AB740" s="1">
        <v>34</v>
      </c>
    </row>
    <row r="741" spans="1:28" x14ac:dyDescent="0.15">
      <c r="A741" s="1">
        <v>2086</v>
      </c>
      <c r="B741" s="1" t="s">
        <v>7159</v>
      </c>
      <c r="J741" s="1" t="s">
        <v>1074</v>
      </c>
      <c r="L741" s="1" t="s">
        <v>1109</v>
      </c>
      <c r="N741" s="1" t="s">
        <v>1110</v>
      </c>
      <c r="P741" s="1" t="s">
        <v>3644</v>
      </c>
      <c r="Q741" s="3">
        <v>0</v>
      </c>
      <c r="S741" s="23" t="s">
        <v>5949</v>
      </c>
      <c r="T741" s="23" t="s">
        <v>4931</v>
      </c>
      <c r="U741" s="3">
        <v>34</v>
      </c>
      <c r="W741" s="45" t="str">
        <f>HYPERLINK("http://ictvonline.org/taxonomy/p/taxonomy-history?taxnode_id=201851946","ICTVonline=201851946")</f>
        <v>ICTVonline=201851946</v>
      </c>
      <c r="AA741" s="1">
        <v>201850000</v>
      </c>
      <c r="AB741" s="1">
        <v>34</v>
      </c>
    </row>
    <row r="742" spans="1:28" x14ac:dyDescent="0.15">
      <c r="A742" s="1">
        <v>2088</v>
      </c>
      <c r="B742" s="1" t="s">
        <v>7159</v>
      </c>
      <c r="J742" s="1" t="s">
        <v>1074</v>
      </c>
      <c r="L742" s="1" t="s">
        <v>1109</v>
      </c>
      <c r="N742" s="1" t="s">
        <v>1110</v>
      </c>
      <c r="P742" s="1" t="s">
        <v>3645</v>
      </c>
      <c r="Q742" s="3">
        <v>0</v>
      </c>
      <c r="S742" s="23" t="s">
        <v>5949</v>
      </c>
      <c r="T742" s="23" t="s">
        <v>4931</v>
      </c>
      <c r="U742" s="3">
        <v>34</v>
      </c>
      <c r="W742" s="45" t="str">
        <f>HYPERLINK("http://ictvonline.org/taxonomy/p/taxonomy-history?taxnode_id=201851947","ICTVonline=201851947")</f>
        <v>ICTVonline=201851947</v>
      </c>
      <c r="AA742" s="1">
        <v>201850000</v>
      </c>
      <c r="AB742" s="1">
        <v>34</v>
      </c>
    </row>
    <row r="743" spans="1:28" x14ac:dyDescent="0.15">
      <c r="A743" s="1">
        <v>2090</v>
      </c>
      <c r="B743" s="1" t="s">
        <v>7159</v>
      </c>
      <c r="J743" s="1" t="s">
        <v>1074</v>
      </c>
      <c r="L743" s="1" t="s">
        <v>1109</v>
      </c>
      <c r="N743" s="1" t="s">
        <v>1110</v>
      </c>
      <c r="P743" s="1" t="s">
        <v>5156</v>
      </c>
      <c r="Q743" s="3">
        <v>0</v>
      </c>
      <c r="S743" s="23" t="s">
        <v>5949</v>
      </c>
      <c r="T743" s="23" t="s">
        <v>4931</v>
      </c>
      <c r="U743" s="3">
        <v>34</v>
      </c>
      <c r="W743" s="45" t="str">
        <f>HYPERLINK("http://ictvonline.org/taxonomy/p/taxonomy-history?taxnode_id=201851948","ICTVonline=201851948")</f>
        <v>ICTVonline=201851948</v>
      </c>
      <c r="AA743" s="1">
        <v>201850000</v>
      </c>
      <c r="AB743" s="1">
        <v>34</v>
      </c>
    </row>
    <row r="744" spans="1:28" x14ac:dyDescent="0.15">
      <c r="A744" s="1">
        <v>2096</v>
      </c>
      <c r="B744" s="1" t="s">
        <v>7159</v>
      </c>
      <c r="J744" s="1" t="s">
        <v>1074</v>
      </c>
      <c r="L744" s="1" t="s">
        <v>1116</v>
      </c>
      <c r="N744" s="1" t="s">
        <v>6</v>
      </c>
      <c r="P744" s="1" t="s">
        <v>5200</v>
      </c>
      <c r="Q744" s="3">
        <v>0</v>
      </c>
      <c r="S744" s="23" t="s">
        <v>5949</v>
      </c>
      <c r="T744" s="23" t="s">
        <v>4931</v>
      </c>
      <c r="U744" s="3">
        <v>34</v>
      </c>
      <c r="W744" s="45" t="str">
        <f>HYPERLINK("http://ictvonline.org/taxonomy/p/taxonomy-history?taxnode_id=201852166","ICTVonline=201852166")</f>
        <v>ICTVonline=201852166</v>
      </c>
      <c r="AA744" s="1">
        <v>201850000</v>
      </c>
      <c r="AB744" s="1">
        <v>34</v>
      </c>
    </row>
    <row r="745" spans="1:28" x14ac:dyDescent="0.15">
      <c r="A745" s="1">
        <v>2098</v>
      </c>
      <c r="B745" s="1" t="s">
        <v>7159</v>
      </c>
      <c r="J745" s="1" t="s">
        <v>1074</v>
      </c>
      <c r="L745" s="1" t="s">
        <v>1116</v>
      </c>
      <c r="N745" s="1" t="s">
        <v>6</v>
      </c>
      <c r="P745" s="1" t="s">
        <v>7</v>
      </c>
      <c r="Q745" s="3">
        <v>0</v>
      </c>
      <c r="S745" s="23" t="s">
        <v>5949</v>
      </c>
      <c r="T745" s="23" t="s">
        <v>4931</v>
      </c>
      <c r="U745" s="3">
        <v>34</v>
      </c>
      <c r="W745" s="45" t="str">
        <f>HYPERLINK("http://ictvonline.org/taxonomy/p/taxonomy-history?taxnode_id=201852167","ICTVonline=201852167")</f>
        <v>ICTVonline=201852167</v>
      </c>
      <c r="AA745" s="1">
        <v>201850000</v>
      </c>
      <c r="AB745" s="1">
        <v>34</v>
      </c>
    </row>
    <row r="746" spans="1:28" x14ac:dyDescent="0.15">
      <c r="A746" s="1">
        <v>2100</v>
      </c>
      <c r="B746" s="1" t="s">
        <v>7159</v>
      </c>
      <c r="J746" s="1" t="s">
        <v>1074</v>
      </c>
      <c r="L746" s="1" t="s">
        <v>1116</v>
      </c>
      <c r="N746" s="1" t="s">
        <v>6</v>
      </c>
      <c r="P746" s="1" t="s">
        <v>8</v>
      </c>
      <c r="Q746" s="3">
        <v>1</v>
      </c>
      <c r="S746" s="23" t="s">
        <v>5949</v>
      </c>
      <c r="T746" s="23" t="s">
        <v>4931</v>
      </c>
      <c r="U746" s="3">
        <v>34</v>
      </c>
      <c r="W746" s="45" t="str">
        <f>HYPERLINK("http://ictvonline.org/taxonomy/p/taxonomy-history?taxnode_id=201852168","ICTVonline=201852168")</f>
        <v>ICTVonline=201852168</v>
      </c>
      <c r="AA746" s="1">
        <v>201850000</v>
      </c>
      <c r="AB746" s="1">
        <v>34</v>
      </c>
    </row>
    <row r="747" spans="1:28" x14ac:dyDescent="0.15">
      <c r="A747" s="1">
        <v>2104</v>
      </c>
      <c r="B747" s="1" t="s">
        <v>7159</v>
      </c>
      <c r="J747" s="1" t="s">
        <v>1074</v>
      </c>
      <c r="L747" s="1" t="s">
        <v>1116</v>
      </c>
      <c r="N747" s="1" t="s">
        <v>6874</v>
      </c>
      <c r="P747" s="1" t="s">
        <v>6875</v>
      </c>
      <c r="Q747" s="3">
        <v>1</v>
      </c>
      <c r="S747" s="23" t="s">
        <v>5949</v>
      </c>
      <c r="T747" s="23" t="s">
        <v>4929</v>
      </c>
      <c r="U747" s="3">
        <v>34</v>
      </c>
      <c r="V747" s="3" t="s">
        <v>6876</v>
      </c>
      <c r="W747" s="45" t="str">
        <f>HYPERLINK("http://ictvonline.org/taxonomy/p/taxonomy-history?taxnode_id=201856540","ICTVonline=201856540")</f>
        <v>ICTVonline=201856540</v>
      </c>
      <c r="AA747" s="1">
        <v>201850000</v>
      </c>
      <c r="AB747" s="1">
        <v>34</v>
      </c>
    </row>
    <row r="748" spans="1:28" x14ac:dyDescent="0.15">
      <c r="A748" s="1">
        <v>2108</v>
      </c>
      <c r="B748" s="1" t="s">
        <v>7159</v>
      </c>
      <c r="J748" s="1" t="s">
        <v>1074</v>
      </c>
      <c r="L748" s="1" t="s">
        <v>1116</v>
      </c>
      <c r="N748" s="1" t="s">
        <v>9</v>
      </c>
      <c r="P748" s="1" t="s">
        <v>10</v>
      </c>
      <c r="Q748" s="3">
        <v>1</v>
      </c>
      <c r="S748" s="23" t="s">
        <v>5949</v>
      </c>
      <c r="T748" s="23" t="s">
        <v>4931</v>
      </c>
      <c r="U748" s="3">
        <v>34</v>
      </c>
      <c r="W748" s="45" t="str">
        <f>HYPERLINK("http://ictvonline.org/taxonomy/p/taxonomy-history?taxnode_id=201852170","ICTVonline=201852170")</f>
        <v>ICTVonline=201852170</v>
      </c>
      <c r="AA748" s="1">
        <v>201850000</v>
      </c>
      <c r="AB748" s="1">
        <v>34</v>
      </c>
    </row>
    <row r="749" spans="1:28" x14ac:dyDescent="0.15">
      <c r="A749" s="1">
        <v>2112</v>
      </c>
      <c r="B749" s="1" t="s">
        <v>7159</v>
      </c>
      <c r="J749" s="1" t="s">
        <v>1074</v>
      </c>
      <c r="L749" s="1" t="s">
        <v>1116</v>
      </c>
      <c r="N749" s="1" t="s">
        <v>6877</v>
      </c>
      <c r="P749" s="1" t="s">
        <v>6878</v>
      </c>
      <c r="Q749" s="3">
        <v>1</v>
      </c>
      <c r="S749" s="23" t="s">
        <v>5949</v>
      </c>
      <c r="T749" s="23" t="s">
        <v>4929</v>
      </c>
      <c r="U749" s="3">
        <v>34</v>
      </c>
      <c r="V749" s="3" t="s">
        <v>6876</v>
      </c>
      <c r="W749" s="45" t="str">
        <f>HYPERLINK("http://ictvonline.org/taxonomy/p/taxonomy-history?taxnode_id=201856538","ICTVonline=201856538")</f>
        <v>ICTVonline=201856538</v>
      </c>
      <c r="AA749" s="1">
        <v>201850000</v>
      </c>
      <c r="AB749" s="1">
        <v>34</v>
      </c>
    </row>
    <row r="750" spans="1:28" x14ac:dyDescent="0.15">
      <c r="A750" s="1">
        <v>2114</v>
      </c>
      <c r="B750" s="1" t="s">
        <v>7159</v>
      </c>
      <c r="J750" s="1" t="s">
        <v>1074</v>
      </c>
      <c r="L750" s="1" t="s">
        <v>1116</v>
      </c>
      <c r="N750" s="1" t="s">
        <v>6877</v>
      </c>
      <c r="P750" s="1" t="s">
        <v>6879</v>
      </c>
      <c r="Q750" s="3">
        <v>0</v>
      </c>
      <c r="S750" s="23" t="s">
        <v>5949</v>
      </c>
      <c r="T750" s="23" t="s">
        <v>4929</v>
      </c>
      <c r="U750" s="3">
        <v>34</v>
      </c>
      <c r="V750" s="3" t="s">
        <v>6876</v>
      </c>
      <c r="W750" s="45" t="str">
        <f>HYPERLINK("http://ictvonline.org/taxonomy/p/taxonomy-history?taxnode_id=201856536","ICTVonline=201856536")</f>
        <v>ICTVonline=201856536</v>
      </c>
      <c r="AA750" s="1">
        <v>201850000</v>
      </c>
      <c r="AB750" s="1">
        <v>34</v>
      </c>
    </row>
    <row r="751" spans="1:28" x14ac:dyDescent="0.15">
      <c r="A751" s="1">
        <v>2116</v>
      </c>
      <c r="B751" s="1" t="s">
        <v>7159</v>
      </c>
      <c r="J751" s="1" t="s">
        <v>1074</v>
      </c>
      <c r="L751" s="1" t="s">
        <v>1116</v>
      </c>
      <c r="N751" s="1" t="s">
        <v>6877</v>
      </c>
      <c r="P751" s="1" t="s">
        <v>6880</v>
      </c>
      <c r="Q751" s="3">
        <v>0</v>
      </c>
      <c r="S751" s="23" t="s">
        <v>5949</v>
      </c>
      <c r="T751" s="23" t="s">
        <v>4929</v>
      </c>
      <c r="U751" s="3">
        <v>34</v>
      </c>
      <c r="V751" s="3" t="s">
        <v>6876</v>
      </c>
      <c r="W751" s="45" t="str">
        <f>HYPERLINK("http://ictvonline.org/taxonomy/p/taxonomy-history?taxnode_id=201856535","ICTVonline=201856535")</f>
        <v>ICTVonline=201856535</v>
      </c>
      <c r="AA751" s="1">
        <v>201850000</v>
      </c>
      <c r="AB751" s="1">
        <v>34</v>
      </c>
    </row>
    <row r="752" spans="1:28" x14ac:dyDescent="0.15">
      <c r="A752" s="1">
        <v>2118</v>
      </c>
      <c r="B752" s="1" t="s">
        <v>7159</v>
      </c>
      <c r="J752" s="1" t="s">
        <v>1074</v>
      </c>
      <c r="L752" s="1" t="s">
        <v>1116</v>
      </c>
      <c r="N752" s="1" t="s">
        <v>6877</v>
      </c>
      <c r="P752" s="1" t="s">
        <v>6881</v>
      </c>
      <c r="Q752" s="3">
        <v>0</v>
      </c>
      <c r="S752" s="23" t="s">
        <v>5949</v>
      </c>
      <c r="T752" s="23" t="s">
        <v>4929</v>
      </c>
      <c r="U752" s="3">
        <v>34</v>
      </c>
      <c r="V752" s="3" t="s">
        <v>6876</v>
      </c>
      <c r="W752" s="45" t="str">
        <f>HYPERLINK("http://ictvonline.org/taxonomy/p/taxonomy-history?taxnode_id=201856537","ICTVonline=201856537")</f>
        <v>ICTVonline=201856537</v>
      </c>
      <c r="AA752" s="1">
        <v>201850000</v>
      </c>
      <c r="AB752" s="1">
        <v>34</v>
      </c>
    </row>
    <row r="753" spans="1:28" x14ac:dyDescent="0.15">
      <c r="A753" s="1">
        <v>2122</v>
      </c>
      <c r="B753" s="1" t="s">
        <v>7159</v>
      </c>
      <c r="J753" s="1" t="s">
        <v>1074</v>
      </c>
      <c r="L753" s="1" t="s">
        <v>1116</v>
      </c>
      <c r="N753" s="1" t="s">
        <v>1117</v>
      </c>
      <c r="P753" s="1" t="s">
        <v>1118</v>
      </c>
      <c r="Q753" s="3">
        <v>1</v>
      </c>
      <c r="S753" s="23" t="s">
        <v>5949</v>
      </c>
      <c r="T753" s="23" t="s">
        <v>4931</v>
      </c>
      <c r="U753" s="3">
        <v>34</v>
      </c>
      <c r="W753" s="45" t="str">
        <f>HYPERLINK("http://ictvonline.org/taxonomy/p/taxonomy-history?taxnode_id=201851952","ICTVonline=201851952")</f>
        <v>ICTVonline=201851952</v>
      </c>
      <c r="AA753" s="1">
        <v>201850000</v>
      </c>
      <c r="AB753" s="1">
        <v>34</v>
      </c>
    </row>
    <row r="754" spans="1:28" x14ac:dyDescent="0.15">
      <c r="A754" s="1">
        <v>2126</v>
      </c>
      <c r="B754" s="1" t="s">
        <v>7159</v>
      </c>
      <c r="J754" s="1" t="s">
        <v>1074</v>
      </c>
      <c r="L754" s="1" t="s">
        <v>1116</v>
      </c>
      <c r="N754" s="1" t="s">
        <v>6882</v>
      </c>
      <c r="P754" s="1" t="s">
        <v>6883</v>
      </c>
      <c r="Q754" s="3">
        <v>0</v>
      </c>
      <c r="S754" s="23" t="s">
        <v>5949</v>
      </c>
      <c r="T754" s="23" t="s">
        <v>4929</v>
      </c>
      <c r="U754" s="3">
        <v>34</v>
      </c>
      <c r="V754" s="3" t="s">
        <v>6876</v>
      </c>
      <c r="W754" s="45" t="str">
        <f>HYPERLINK("http://ictvonline.org/taxonomy/p/taxonomy-history?taxnode_id=201856551","ICTVonline=201856551")</f>
        <v>ICTVonline=201856551</v>
      </c>
      <c r="AA754" s="1">
        <v>201850000</v>
      </c>
      <c r="AB754" s="1">
        <v>34</v>
      </c>
    </row>
    <row r="755" spans="1:28" x14ac:dyDescent="0.15">
      <c r="A755" s="1">
        <v>2128</v>
      </c>
      <c r="B755" s="1" t="s">
        <v>7159</v>
      </c>
      <c r="J755" s="1" t="s">
        <v>1074</v>
      </c>
      <c r="L755" s="1" t="s">
        <v>1116</v>
      </c>
      <c r="N755" s="1" t="s">
        <v>6882</v>
      </c>
      <c r="P755" s="1" t="s">
        <v>6884</v>
      </c>
      <c r="Q755" s="3">
        <v>1</v>
      </c>
      <c r="S755" s="23" t="s">
        <v>5949</v>
      </c>
      <c r="T755" s="23" t="s">
        <v>4929</v>
      </c>
      <c r="U755" s="3">
        <v>34</v>
      </c>
      <c r="V755" s="3" t="s">
        <v>6876</v>
      </c>
      <c r="W755" s="45" t="str">
        <f>HYPERLINK("http://ictvonline.org/taxonomy/p/taxonomy-history?taxnode_id=201856549","ICTVonline=201856549")</f>
        <v>ICTVonline=201856549</v>
      </c>
      <c r="AA755" s="1">
        <v>201850000</v>
      </c>
      <c r="AB755" s="1">
        <v>34</v>
      </c>
    </row>
    <row r="756" spans="1:28" x14ac:dyDescent="0.15">
      <c r="A756" s="1">
        <v>2130</v>
      </c>
      <c r="B756" s="1" t="s">
        <v>7159</v>
      </c>
      <c r="J756" s="1" t="s">
        <v>1074</v>
      </c>
      <c r="L756" s="1" t="s">
        <v>1116</v>
      </c>
      <c r="N756" s="1" t="s">
        <v>6882</v>
      </c>
      <c r="P756" s="1" t="s">
        <v>6885</v>
      </c>
      <c r="Q756" s="3">
        <v>0</v>
      </c>
      <c r="S756" s="23" t="s">
        <v>5949</v>
      </c>
      <c r="T756" s="23" t="s">
        <v>4929</v>
      </c>
      <c r="U756" s="3">
        <v>34</v>
      </c>
      <c r="V756" s="3" t="s">
        <v>6876</v>
      </c>
      <c r="W756" s="45" t="str">
        <f>HYPERLINK("http://ictvonline.org/taxonomy/p/taxonomy-history?taxnode_id=201856552","ICTVonline=201856552")</f>
        <v>ICTVonline=201856552</v>
      </c>
      <c r="AA756" s="1">
        <v>201850000</v>
      </c>
      <c r="AB756" s="1">
        <v>34</v>
      </c>
    </row>
    <row r="757" spans="1:28" x14ac:dyDescent="0.15">
      <c r="A757" s="1">
        <v>2132</v>
      </c>
      <c r="B757" s="1" t="s">
        <v>7159</v>
      </c>
      <c r="J757" s="1" t="s">
        <v>1074</v>
      </c>
      <c r="L757" s="1" t="s">
        <v>1116</v>
      </c>
      <c r="N757" s="1" t="s">
        <v>6882</v>
      </c>
      <c r="P757" s="1" t="s">
        <v>6886</v>
      </c>
      <c r="Q757" s="3">
        <v>0</v>
      </c>
      <c r="S757" s="23" t="s">
        <v>5949</v>
      </c>
      <c r="T757" s="23" t="s">
        <v>4929</v>
      </c>
      <c r="U757" s="3">
        <v>34</v>
      </c>
      <c r="V757" s="3" t="s">
        <v>6876</v>
      </c>
      <c r="W757" s="45" t="str">
        <f>HYPERLINK("http://ictvonline.org/taxonomy/p/taxonomy-history?taxnode_id=201856550","ICTVonline=201856550")</f>
        <v>ICTVonline=201856550</v>
      </c>
      <c r="AA757" s="1">
        <v>201850000</v>
      </c>
      <c r="AB757" s="1">
        <v>34</v>
      </c>
    </row>
    <row r="758" spans="1:28" x14ac:dyDescent="0.15">
      <c r="A758" s="1">
        <v>2136</v>
      </c>
      <c r="B758" s="1" t="s">
        <v>7159</v>
      </c>
      <c r="J758" s="1" t="s">
        <v>1074</v>
      </c>
      <c r="L758" s="1" t="s">
        <v>1116</v>
      </c>
      <c r="N758" s="1" t="s">
        <v>6887</v>
      </c>
      <c r="P758" s="1" t="s">
        <v>6888</v>
      </c>
      <c r="Q758" s="3">
        <v>0</v>
      </c>
      <c r="S758" s="23" t="s">
        <v>5949</v>
      </c>
      <c r="T758" s="23" t="s">
        <v>4929</v>
      </c>
      <c r="U758" s="3">
        <v>34</v>
      </c>
      <c r="V758" s="3" t="s">
        <v>6876</v>
      </c>
      <c r="W758" s="45" t="str">
        <f>HYPERLINK("http://ictvonline.org/taxonomy/p/taxonomy-history?taxnode_id=201856542","ICTVonline=201856542")</f>
        <v>ICTVonline=201856542</v>
      </c>
      <c r="AA758" s="1">
        <v>201850000</v>
      </c>
      <c r="AB758" s="1">
        <v>34</v>
      </c>
    </row>
    <row r="759" spans="1:28" x14ac:dyDescent="0.15">
      <c r="A759" s="1">
        <v>2138</v>
      </c>
      <c r="B759" s="1" t="s">
        <v>7159</v>
      </c>
      <c r="J759" s="1" t="s">
        <v>1074</v>
      </c>
      <c r="L759" s="1" t="s">
        <v>1116</v>
      </c>
      <c r="N759" s="1" t="s">
        <v>6887</v>
      </c>
      <c r="P759" s="1" t="s">
        <v>6889</v>
      </c>
      <c r="Q759" s="3">
        <v>0</v>
      </c>
      <c r="S759" s="23" t="s">
        <v>5949</v>
      </c>
      <c r="T759" s="23" t="s">
        <v>4929</v>
      </c>
      <c r="U759" s="3">
        <v>34</v>
      </c>
      <c r="V759" s="3" t="s">
        <v>6876</v>
      </c>
      <c r="W759" s="45" t="str">
        <f>HYPERLINK("http://ictvonline.org/taxonomy/p/taxonomy-history?taxnode_id=201856544","ICTVonline=201856544")</f>
        <v>ICTVonline=201856544</v>
      </c>
      <c r="AA759" s="1">
        <v>201850000</v>
      </c>
      <c r="AB759" s="1">
        <v>34</v>
      </c>
    </row>
    <row r="760" spans="1:28" x14ac:dyDescent="0.15">
      <c r="A760" s="1">
        <v>2140</v>
      </c>
      <c r="B760" s="1" t="s">
        <v>7159</v>
      </c>
      <c r="J760" s="1" t="s">
        <v>1074</v>
      </c>
      <c r="L760" s="1" t="s">
        <v>1116</v>
      </c>
      <c r="N760" s="1" t="s">
        <v>6887</v>
      </c>
      <c r="P760" s="1" t="s">
        <v>6890</v>
      </c>
      <c r="Q760" s="3">
        <v>0</v>
      </c>
      <c r="S760" s="23" t="s">
        <v>5949</v>
      </c>
      <c r="T760" s="23" t="s">
        <v>4929</v>
      </c>
      <c r="U760" s="3">
        <v>34</v>
      </c>
      <c r="V760" s="3" t="s">
        <v>6876</v>
      </c>
      <c r="W760" s="45" t="str">
        <f>HYPERLINK("http://ictvonline.org/taxonomy/p/taxonomy-history?taxnode_id=201856547","ICTVonline=201856547")</f>
        <v>ICTVonline=201856547</v>
      </c>
      <c r="AA760" s="1">
        <v>201850000</v>
      </c>
      <c r="AB760" s="1">
        <v>34</v>
      </c>
    </row>
    <row r="761" spans="1:28" x14ac:dyDescent="0.15">
      <c r="A761" s="1">
        <v>2142</v>
      </c>
      <c r="B761" s="1" t="s">
        <v>7159</v>
      </c>
      <c r="J761" s="1" t="s">
        <v>1074</v>
      </c>
      <c r="L761" s="1" t="s">
        <v>1116</v>
      </c>
      <c r="N761" s="1" t="s">
        <v>6887</v>
      </c>
      <c r="P761" s="1" t="s">
        <v>6891</v>
      </c>
      <c r="Q761" s="3">
        <v>1</v>
      </c>
      <c r="S761" s="23" t="s">
        <v>5949</v>
      </c>
      <c r="T761" s="23" t="s">
        <v>4929</v>
      </c>
      <c r="U761" s="3">
        <v>34</v>
      </c>
      <c r="V761" s="3" t="s">
        <v>6876</v>
      </c>
      <c r="W761" s="45" t="str">
        <f>HYPERLINK("http://ictvonline.org/taxonomy/p/taxonomy-history?taxnode_id=201856546","ICTVonline=201856546")</f>
        <v>ICTVonline=201856546</v>
      </c>
      <c r="AA761" s="1">
        <v>201850000</v>
      </c>
      <c r="AB761" s="1">
        <v>34</v>
      </c>
    </row>
    <row r="762" spans="1:28" x14ac:dyDescent="0.15">
      <c r="A762" s="1">
        <v>2144</v>
      </c>
      <c r="B762" s="1" t="s">
        <v>7159</v>
      </c>
      <c r="J762" s="1" t="s">
        <v>1074</v>
      </c>
      <c r="L762" s="1" t="s">
        <v>1116</v>
      </c>
      <c r="N762" s="1" t="s">
        <v>6887</v>
      </c>
      <c r="P762" s="1" t="s">
        <v>6892</v>
      </c>
      <c r="Q762" s="3">
        <v>0</v>
      </c>
      <c r="S762" s="23" t="s">
        <v>5949</v>
      </c>
      <c r="T762" s="23" t="s">
        <v>4929</v>
      </c>
      <c r="U762" s="3">
        <v>34</v>
      </c>
      <c r="V762" s="3" t="s">
        <v>6876</v>
      </c>
      <c r="W762" s="45" t="str">
        <f>HYPERLINK("http://ictvonline.org/taxonomy/p/taxonomy-history?taxnode_id=201856545","ICTVonline=201856545")</f>
        <v>ICTVonline=201856545</v>
      </c>
      <c r="AA762" s="1">
        <v>201850000</v>
      </c>
      <c r="AB762" s="1">
        <v>34</v>
      </c>
    </row>
    <row r="763" spans="1:28" x14ac:dyDescent="0.15">
      <c r="A763" s="1">
        <v>2146</v>
      </c>
      <c r="B763" s="1" t="s">
        <v>7159</v>
      </c>
      <c r="J763" s="1" t="s">
        <v>1074</v>
      </c>
      <c r="L763" s="1" t="s">
        <v>1116</v>
      </c>
      <c r="N763" s="1" t="s">
        <v>6887</v>
      </c>
      <c r="P763" s="1" t="s">
        <v>6893</v>
      </c>
      <c r="Q763" s="3">
        <v>0</v>
      </c>
      <c r="S763" s="23" t="s">
        <v>5949</v>
      </c>
      <c r="T763" s="23" t="s">
        <v>4929</v>
      </c>
      <c r="U763" s="3">
        <v>34</v>
      </c>
      <c r="V763" s="3" t="s">
        <v>6876</v>
      </c>
      <c r="W763" s="45" t="str">
        <f>HYPERLINK("http://ictvonline.org/taxonomy/p/taxonomy-history?taxnode_id=201856543","ICTVonline=201856543")</f>
        <v>ICTVonline=201856543</v>
      </c>
      <c r="AA763" s="1">
        <v>201850000</v>
      </c>
      <c r="AB763" s="1">
        <v>34</v>
      </c>
    </row>
    <row r="764" spans="1:28" x14ac:dyDescent="0.15">
      <c r="A764" s="1">
        <v>2152</v>
      </c>
      <c r="B764" s="1" t="s">
        <v>7159</v>
      </c>
      <c r="J764" s="1" t="s">
        <v>1074</v>
      </c>
      <c r="L764" s="1" t="s">
        <v>1119</v>
      </c>
      <c r="N764" s="1" t="s">
        <v>5157</v>
      </c>
      <c r="P764" s="1" t="s">
        <v>5158</v>
      </c>
      <c r="Q764" s="3">
        <v>1</v>
      </c>
      <c r="S764" s="23" t="s">
        <v>5949</v>
      </c>
      <c r="T764" s="23" t="s">
        <v>4931</v>
      </c>
      <c r="U764" s="3">
        <v>34</v>
      </c>
      <c r="W764" s="45" t="str">
        <f>HYPERLINK("http://ictvonline.org/taxonomy/p/taxonomy-history?taxnode_id=201855589","ICTVonline=201855589")</f>
        <v>ICTVonline=201855589</v>
      </c>
      <c r="AA764" s="1">
        <v>201850000</v>
      </c>
      <c r="AB764" s="1">
        <v>34</v>
      </c>
    </row>
    <row r="765" spans="1:28" x14ac:dyDescent="0.15">
      <c r="A765" s="1">
        <v>2156</v>
      </c>
      <c r="B765" s="1" t="s">
        <v>7159</v>
      </c>
      <c r="J765" s="1" t="s">
        <v>1074</v>
      </c>
      <c r="L765" s="1" t="s">
        <v>1119</v>
      </c>
      <c r="N765" s="1" t="s">
        <v>6894</v>
      </c>
      <c r="P765" s="1" t="s">
        <v>6895</v>
      </c>
      <c r="Q765" s="3">
        <v>1</v>
      </c>
      <c r="S765" s="23" t="s">
        <v>5949</v>
      </c>
      <c r="T765" s="23" t="s">
        <v>4929</v>
      </c>
      <c r="U765" s="3">
        <v>34</v>
      </c>
      <c r="V765" s="3" t="s">
        <v>6896</v>
      </c>
      <c r="W765" s="45" t="str">
        <f>HYPERLINK("http://ictvonline.org/taxonomy/p/taxonomy-history?taxnode_id=201856525","ICTVonline=201856525")</f>
        <v>ICTVonline=201856525</v>
      </c>
      <c r="AA765" s="1">
        <v>201850000</v>
      </c>
      <c r="AB765" s="1">
        <v>34</v>
      </c>
    </row>
    <row r="766" spans="1:28" x14ac:dyDescent="0.15">
      <c r="A766" s="1">
        <v>2160</v>
      </c>
      <c r="B766" s="1" t="s">
        <v>7159</v>
      </c>
      <c r="J766" s="1" t="s">
        <v>1074</v>
      </c>
      <c r="L766" s="1" t="s">
        <v>1119</v>
      </c>
      <c r="N766" s="1" t="s">
        <v>4581</v>
      </c>
      <c r="P766" s="1" t="s">
        <v>4582</v>
      </c>
      <c r="Q766" s="3">
        <v>1</v>
      </c>
      <c r="S766" s="23" t="s">
        <v>5949</v>
      </c>
      <c r="T766" s="23" t="s">
        <v>4931</v>
      </c>
      <c r="U766" s="3">
        <v>34</v>
      </c>
      <c r="W766" s="45" t="str">
        <f>HYPERLINK("http://ictvonline.org/taxonomy/p/taxonomy-history?taxnode_id=201851956","ICTVonline=201851956")</f>
        <v>ICTVonline=201851956</v>
      </c>
      <c r="AA766" s="1">
        <v>201850000</v>
      </c>
      <c r="AB766" s="1">
        <v>34</v>
      </c>
    </row>
    <row r="767" spans="1:28" x14ac:dyDescent="0.15">
      <c r="A767" s="1">
        <v>2164</v>
      </c>
      <c r="B767" s="1" t="s">
        <v>7159</v>
      </c>
      <c r="J767" s="1" t="s">
        <v>1074</v>
      </c>
      <c r="L767" s="1" t="s">
        <v>1119</v>
      </c>
      <c r="N767" s="1" t="s">
        <v>6897</v>
      </c>
      <c r="P767" s="1" t="s">
        <v>6898</v>
      </c>
      <c r="Q767" s="3">
        <v>1</v>
      </c>
      <c r="S767" s="23" t="s">
        <v>5949</v>
      </c>
      <c r="W767" s="45" t="str">
        <f>HYPERLINK("http://ictvonline.org/taxonomy/p/taxonomy-history?taxnode_id=201852057","ICTVonline=201852057")</f>
        <v>ICTVonline=201852057</v>
      </c>
      <c r="AA767" s="1">
        <v>201850000</v>
      </c>
      <c r="AB767" s="1">
        <v>34</v>
      </c>
    </row>
    <row r="768" spans="1:28" x14ac:dyDescent="0.15">
      <c r="A768" s="1">
        <v>2168</v>
      </c>
      <c r="B768" s="1" t="s">
        <v>7159</v>
      </c>
      <c r="J768" s="1" t="s">
        <v>1074</v>
      </c>
      <c r="L768" s="1" t="s">
        <v>1119</v>
      </c>
      <c r="N768" s="1" t="s">
        <v>1043</v>
      </c>
      <c r="P768" s="1" t="s">
        <v>4</v>
      </c>
      <c r="Q768" s="3">
        <v>0</v>
      </c>
      <c r="S768" s="23" t="s">
        <v>5949</v>
      </c>
      <c r="T768" s="23" t="s">
        <v>4931</v>
      </c>
      <c r="U768" s="3">
        <v>34</v>
      </c>
      <c r="W768" s="45" t="str">
        <f>HYPERLINK("http://ictvonline.org/taxonomy/p/taxonomy-history?taxnode_id=201851958","ICTVonline=201851958")</f>
        <v>ICTVonline=201851958</v>
      </c>
      <c r="AA768" s="1">
        <v>201850000</v>
      </c>
      <c r="AB768" s="1">
        <v>34</v>
      </c>
    </row>
    <row r="769" spans="1:28" x14ac:dyDescent="0.15">
      <c r="A769" s="1">
        <v>2170</v>
      </c>
      <c r="B769" s="1" t="s">
        <v>7159</v>
      </c>
      <c r="J769" s="1" t="s">
        <v>1074</v>
      </c>
      <c r="L769" s="1" t="s">
        <v>1119</v>
      </c>
      <c r="N769" s="1" t="s">
        <v>1043</v>
      </c>
      <c r="P769" s="1" t="s">
        <v>2129</v>
      </c>
      <c r="Q769" s="3">
        <v>0</v>
      </c>
      <c r="S769" s="23" t="s">
        <v>5949</v>
      </c>
      <c r="T769" s="23" t="s">
        <v>4931</v>
      </c>
      <c r="U769" s="3">
        <v>34</v>
      </c>
      <c r="W769" s="45" t="str">
        <f>HYPERLINK("http://ictvonline.org/taxonomy/p/taxonomy-history?taxnode_id=201851959","ICTVonline=201851959")</f>
        <v>ICTVonline=201851959</v>
      </c>
      <c r="AA769" s="1">
        <v>201850000</v>
      </c>
      <c r="AB769" s="1">
        <v>34</v>
      </c>
    </row>
    <row r="770" spans="1:28" x14ac:dyDescent="0.15">
      <c r="A770" s="1">
        <v>2172</v>
      </c>
      <c r="B770" s="1" t="s">
        <v>7159</v>
      </c>
      <c r="J770" s="1" t="s">
        <v>1074</v>
      </c>
      <c r="L770" s="1" t="s">
        <v>1119</v>
      </c>
      <c r="N770" s="1" t="s">
        <v>1043</v>
      </c>
      <c r="P770" s="1" t="s">
        <v>708</v>
      </c>
      <c r="Q770" s="3">
        <v>0</v>
      </c>
      <c r="S770" s="23" t="s">
        <v>5949</v>
      </c>
      <c r="T770" s="23" t="s">
        <v>4931</v>
      </c>
      <c r="U770" s="3">
        <v>34</v>
      </c>
      <c r="W770" s="45" t="str">
        <f>HYPERLINK("http://ictvonline.org/taxonomy/p/taxonomy-history?taxnode_id=201851960","ICTVonline=201851960")</f>
        <v>ICTVonline=201851960</v>
      </c>
      <c r="AA770" s="1">
        <v>201850000</v>
      </c>
      <c r="AB770" s="1">
        <v>34</v>
      </c>
    </row>
    <row r="771" spans="1:28" x14ac:dyDescent="0.15">
      <c r="A771" s="1">
        <v>2174</v>
      </c>
      <c r="B771" s="1" t="s">
        <v>7159</v>
      </c>
      <c r="J771" s="1" t="s">
        <v>1074</v>
      </c>
      <c r="L771" s="1" t="s">
        <v>1119</v>
      </c>
      <c r="N771" s="1" t="s">
        <v>1043</v>
      </c>
      <c r="P771" s="1" t="s">
        <v>1753</v>
      </c>
      <c r="Q771" s="3">
        <v>1</v>
      </c>
      <c r="S771" s="23" t="s">
        <v>5949</v>
      </c>
      <c r="T771" s="23" t="s">
        <v>4931</v>
      </c>
      <c r="U771" s="3">
        <v>34</v>
      </c>
      <c r="W771" s="45" t="str">
        <f>HYPERLINK("http://ictvonline.org/taxonomy/p/taxonomy-history?taxnode_id=201851961","ICTVonline=201851961")</f>
        <v>ICTVonline=201851961</v>
      </c>
      <c r="AA771" s="1">
        <v>201850000</v>
      </c>
      <c r="AB771" s="1">
        <v>34</v>
      </c>
    </row>
    <row r="772" spans="1:28" x14ac:dyDescent="0.15">
      <c r="A772" s="1">
        <v>2178</v>
      </c>
      <c r="B772" s="1" t="s">
        <v>7159</v>
      </c>
      <c r="J772" s="1" t="s">
        <v>1074</v>
      </c>
      <c r="L772" s="1" t="s">
        <v>1119</v>
      </c>
      <c r="N772" s="1" t="s">
        <v>2170</v>
      </c>
      <c r="P772" s="1" t="s">
        <v>2171</v>
      </c>
      <c r="Q772" s="3">
        <v>1</v>
      </c>
      <c r="S772" s="23" t="s">
        <v>5949</v>
      </c>
      <c r="T772" s="23" t="s">
        <v>4931</v>
      </c>
      <c r="U772" s="3">
        <v>34</v>
      </c>
      <c r="W772" s="45" t="str">
        <f>HYPERLINK("http://ictvonline.org/taxonomy/p/taxonomy-history?taxnode_id=201851963","ICTVonline=201851963")</f>
        <v>ICTVonline=201851963</v>
      </c>
      <c r="AA772" s="1">
        <v>201850000</v>
      </c>
      <c r="AB772" s="1">
        <v>34</v>
      </c>
    </row>
    <row r="773" spans="1:28" x14ac:dyDescent="0.15">
      <c r="A773" s="1">
        <v>2182</v>
      </c>
      <c r="B773" s="1" t="s">
        <v>7159</v>
      </c>
      <c r="J773" s="1" t="s">
        <v>1074</v>
      </c>
      <c r="L773" s="1" t="s">
        <v>1119</v>
      </c>
      <c r="N773" s="1" t="s">
        <v>1079</v>
      </c>
      <c r="P773" s="1" t="s">
        <v>2628</v>
      </c>
      <c r="Q773" s="3">
        <v>1</v>
      </c>
      <c r="S773" s="23" t="s">
        <v>5949</v>
      </c>
      <c r="T773" s="23" t="s">
        <v>4931</v>
      </c>
      <c r="U773" s="3">
        <v>34</v>
      </c>
      <c r="W773" s="45" t="str">
        <f>HYPERLINK("http://ictvonline.org/taxonomy/p/taxonomy-history?taxnode_id=201851965","ICTVonline=201851965")</f>
        <v>ICTVonline=201851965</v>
      </c>
      <c r="AA773" s="1">
        <v>201850000</v>
      </c>
      <c r="AB773" s="1">
        <v>34</v>
      </c>
    </row>
    <row r="774" spans="1:28" x14ac:dyDescent="0.15">
      <c r="A774" s="1">
        <v>2186</v>
      </c>
      <c r="B774" s="1" t="s">
        <v>7159</v>
      </c>
      <c r="J774" s="1" t="s">
        <v>1074</v>
      </c>
      <c r="L774" s="1" t="s">
        <v>1119</v>
      </c>
      <c r="N774" s="1" t="s">
        <v>2303</v>
      </c>
      <c r="P774" s="1" t="s">
        <v>2304</v>
      </c>
      <c r="Q774" s="3">
        <v>1</v>
      </c>
      <c r="S774" s="23" t="s">
        <v>5949</v>
      </c>
      <c r="T774" s="23" t="s">
        <v>4931</v>
      </c>
      <c r="U774" s="3">
        <v>34</v>
      </c>
      <c r="W774" s="45" t="str">
        <f>HYPERLINK("http://ictvonline.org/taxonomy/p/taxonomy-history?taxnode_id=201851967","ICTVonline=201851967")</f>
        <v>ICTVonline=201851967</v>
      </c>
      <c r="AA774" s="1">
        <v>201850000</v>
      </c>
      <c r="AB774" s="1">
        <v>34</v>
      </c>
    </row>
    <row r="775" spans="1:28" x14ac:dyDescent="0.15">
      <c r="A775" s="1">
        <v>2188</v>
      </c>
      <c r="B775" s="1" t="s">
        <v>7159</v>
      </c>
      <c r="J775" s="1" t="s">
        <v>1074</v>
      </c>
      <c r="L775" s="1" t="s">
        <v>1119</v>
      </c>
      <c r="N775" s="1" t="s">
        <v>2303</v>
      </c>
      <c r="P775" s="1" t="s">
        <v>4583</v>
      </c>
      <c r="Q775" s="3">
        <v>0</v>
      </c>
      <c r="S775" s="23" t="s">
        <v>5949</v>
      </c>
      <c r="T775" s="23" t="s">
        <v>4931</v>
      </c>
      <c r="U775" s="3">
        <v>34</v>
      </c>
      <c r="W775" s="45" t="str">
        <f>HYPERLINK("http://ictvonline.org/taxonomy/p/taxonomy-history?taxnode_id=201851968","ICTVonline=201851968")</f>
        <v>ICTVonline=201851968</v>
      </c>
      <c r="AA775" s="1">
        <v>201850000</v>
      </c>
      <c r="AB775" s="1">
        <v>34</v>
      </c>
    </row>
    <row r="776" spans="1:28" x14ac:dyDescent="0.15">
      <c r="A776" s="1">
        <v>2190</v>
      </c>
      <c r="B776" s="1" t="s">
        <v>7159</v>
      </c>
      <c r="J776" s="1" t="s">
        <v>1074</v>
      </c>
      <c r="L776" s="1" t="s">
        <v>1119</v>
      </c>
      <c r="N776" s="1" t="s">
        <v>2303</v>
      </c>
      <c r="P776" s="1" t="s">
        <v>4584</v>
      </c>
      <c r="Q776" s="3">
        <v>0</v>
      </c>
      <c r="S776" s="23" t="s">
        <v>5949</v>
      </c>
      <c r="T776" s="23" t="s">
        <v>4931</v>
      </c>
      <c r="U776" s="3">
        <v>34</v>
      </c>
      <c r="W776" s="45" t="str">
        <f>HYPERLINK("http://ictvonline.org/taxonomy/p/taxonomy-history?taxnode_id=201851969","ICTVonline=201851969")</f>
        <v>ICTVonline=201851969</v>
      </c>
      <c r="AA776" s="1">
        <v>201850000</v>
      </c>
      <c r="AB776" s="1">
        <v>34</v>
      </c>
    </row>
    <row r="777" spans="1:28" x14ac:dyDescent="0.15">
      <c r="A777" s="1">
        <v>2194</v>
      </c>
      <c r="B777" s="1" t="s">
        <v>7159</v>
      </c>
      <c r="J777" s="1" t="s">
        <v>1074</v>
      </c>
      <c r="L777" s="1" t="s">
        <v>1119</v>
      </c>
      <c r="N777" s="1" t="s">
        <v>5159</v>
      </c>
      <c r="P777" s="1" t="s">
        <v>5160</v>
      </c>
      <c r="Q777" s="3">
        <v>1</v>
      </c>
      <c r="S777" s="23" t="s">
        <v>5949</v>
      </c>
      <c r="T777" s="23" t="s">
        <v>4931</v>
      </c>
      <c r="U777" s="3">
        <v>34</v>
      </c>
      <c r="W777" s="45" t="str">
        <f>HYPERLINK("http://ictvonline.org/taxonomy/p/taxonomy-history?taxnode_id=201855591","ICTVonline=201855591")</f>
        <v>ICTVonline=201855591</v>
      </c>
      <c r="AA777" s="1">
        <v>201850000</v>
      </c>
      <c r="AB777" s="1">
        <v>34</v>
      </c>
    </row>
    <row r="778" spans="1:28" x14ac:dyDescent="0.15">
      <c r="A778" s="1">
        <v>2198</v>
      </c>
      <c r="B778" s="1" t="s">
        <v>7159</v>
      </c>
      <c r="J778" s="1" t="s">
        <v>1074</v>
      </c>
      <c r="L778" s="1" t="s">
        <v>1119</v>
      </c>
      <c r="N778" s="1" t="s">
        <v>1754</v>
      </c>
      <c r="P778" s="1" t="s">
        <v>2629</v>
      </c>
      <c r="Q778" s="3">
        <v>1</v>
      </c>
      <c r="S778" s="23" t="s">
        <v>5949</v>
      </c>
      <c r="T778" s="23" t="s">
        <v>4931</v>
      </c>
      <c r="U778" s="3">
        <v>34</v>
      </c>
      <c r="W778" s="45" t="str">
        <f>HYPERLINK("http://ictvonline.org/taxonomy/p/taxonomy-history?taxnode_id=201851971","ICTVonline=201851971")</f>
        <v>ICTVonline=201851971</v>
      </c>
      <c r="AA778" s="1">
        <v>201850000</v>
      </c>
      <c r="AB778" s="1">
        <v>34</v>
      </c>
    </row>
    <row r="779" spans="1:28" x14ac:dyDescent="0.15">
      <c r="A779" s="1">
        <v>2200</v>
      </c>
      <c r="B779" s="1" t="s">
        <v>7159</v>
      </c>
      <c r="J779" s="1" t="s">
        <v>1074</v>
      </c>
      <c r="L779" s="1" t="s">
        <v>1119</v>
      </c>
      <c r="N779" s="1" t="s">
        <v>1754</v>
      </c>
      <c r="P779" s="1" t="s">
        <v>2630</v>
      </c>
      <c r="Q779" s="3">
        <v>0</v>
      </c>
      <c r="S779" s="23" t="s">
        <v>5949</v>
      </c>
      <c r="T779" s="23" t="s">
        <v>4931</v>
      </c>
      <c r="U779" s="3">
        <v>34</v>
      </c>
      <c r="W779" s="45" t="str">
        <f>HYPERLINK("http://ictvonline.org/taxonomy/p/taxonomy-history?taxnode_id=201851972","ICTVonline=201851972")</f>
        <v>ICTVonline=201851972</v>
      </c>
      <c r="AA779" s="1">
        <v>201850000</v>
      </c>
      <c r="AB779" s="1">
        <v>34</v>
      </c>
    </row>
    <row r="780" spans="1:28" x14ac:dyDescent="0.15">
      <c r="A780" s="1">
        <v>2202</v>
      </c>
      <c r="B780" s="1" t="s">
        <v>7159</v>
      </c>
      <c r="J780" s="1" t="s">
        <v>1074</v>
      </c>
      <c r="L780" s="1" t="s">
        <v>1119</v>
      </c>
      <c r="N780" s="1" t="s">
        <v>1754</v>
      </c>
      <c r="P780" s="1" t="s">
        <v>2631</v>
      </c>
      <c r="Q780" s="3">
        <v>0</v>
      </c>
      <c r="S780" s="23" t="s">
        <v>5949</v>
      </c>
      <c r="T780" s="23" t="s">
        <v>4931</v>
      </c>
      <c r="U780" s="3">
        <v>34</v>
      </c>
      <c r="W780" s="45" t="str">
        <f>HYPERLINK("http://ictvonline.org/taxonomy/p/taxonomy-history?taxnode_id=201851973","ICTVonline=201851973")</f>
        <v>ICTVonline=201851973</v>
      </c>
      <c r="AA780" s="1">
        <v>201850000</v>
      </c>
      <c r="AB780" s="1">
        <v>34</v>
      </c>
    </row>
    <row r="781" spans="1:28" x14ac:dyDescent="0.15">
      <c r="A781" s="1">
        <v>2206</v>
      </c>
      <c r="B781" s="1" t="s">
        <v>7159</v>
      </c>
      <c r="J781" s="1" t="s">
        <v>1074</v>
      </c>
      <c r="L781" s="1" t="s">
        <v>1119</v>
      </c>
      <c r="N781" s="1" t="s">
        <v>2172</v>
      </c>
      <c r="P781" s="1" t="s">
        <v>2173</v>
      </c>
      <c r="Q781" s="3">
        <v>1</v>
      </c>
      <c r="S781" s="23" t="s">
        <v>5949</v>
      </c>
      <c r="T781" s="23" t="s">
        <v>4931</v>
      </c>
      <c r="U781" s="3">
        <v>34</v>
      </c>
      <c r="W781" s="45" t="str">
        <f>HYPERLINK("http://ictvonline.org/taxonomy/p/taxonomy-history?taxnode_id=201851975","ICTVonline=201851975")</f>
        <v>ICTVonline=201851975</v>
      </c>
      <c r="AA781" s="1">
        <v>201850000</v>
      </c>
      <c r="AB781" s="1">
        <v>34</v>
      </c>
    </row>
    <row r="782" spans="1:28" x14ac:dyDescent="0.15">
      <c r="A782" s="1">
        <v>2208</v>
      </c>
      <c r="B782" s="1" t="s">
        <v>7159</v>
      </c>
      <c r="J782" s="1" t="s">
        <v>1074</v>
      </c>
      <c r="L782" s="1" t="s">
        <v>1119</v>
      </c>
      <c r="N782" s="1" t="s">
        <v>2172</v>
      </c>
      <c r="P782" s="1" t="s">
        <v>4585</v>
      </c>
      <c r="Q782" s="3">
        <v>0</v>
      </c>
      <c r="S782" s="23" t="s">
        <v>5949</v>
      </c>
      <c r="T782" s="23" t="s">
        <v>4931</v>
      </c>
      <c r="U782" s="3">
        <v>34</v>
      </c>
      <c r="W782" s="45" t="str">
        <f>HYPERLINK("http://ictvonline.org/taxonomy/p/taxonomy-history?taxnode_id=201851976","ICTVonline=201851976")</f>
        <v>ICTVonline=201851976</v>
      </c>
      <c r="AA782" s="1">
        <v>201850000</v>
      </c>
      <c r="AB782" s="1">
        <v>34</v>
      </c>
    </row>
    <row r="783" spans="1:28" x14ac:dyDescent="0.15">
      <c r="A783" s="1">
        <v>2210</v>
      </c>
      <c r="B783" s="1" t="s">
        <v>7159</v>
      </c>
      <c r="J783" s="1" t="s">
        <v>1074</v>
      </c>
      <c r="L783" s="1" t="s">
        <v>1119</v>
      </c>
      <c r="N783" s="1" t="s">
        <v>2172</v>
      </c>
      <c r="P783" s="1" t="s">
        <v>4586</v>
      </c>
      <c r="Q783" s="3">
        <v>0</v>
      </c>
      <c r="S783" s="23" t="s">
        <v>5949</v>
      </c>
      <c r="T783" s="23" t="s">
        <v>4931</v>
      </c>
      <c r="U783" s="3">
        <v>34</v>
      </c>
      <c r="W783" s="45" t="str">
        <f>HYPERLINK("http://ictvonline.org/taxonomy/p/taxonomy-history?taxnode_id=201851977","ICTVonline=201851977")</f>
        <v>ICTVonline=201851977</v>
      </c>
      <c r="AA783" s="1">
        <v>201850000</v>
      </c>
      <c r="AB783" s="1">
        <v>34</v>
      </c>
    </row>
    <row r="784" spans="1:28" x14ac:dyDescent="0.15">
      <c r="A784" s="1">
        <v>2212</v>
      </c>
      <c r="B784" s="1" t="s">
        <v>7159</v>
      </c>
      <c r="J784" s="1" t="s">
        <v>1074</v>
      </c>
      <c r="L784" s="1" t="s">
        <v>1119</v>
      </c>
      <c r="N784" s="1" t="s">
        <v>2172</v>
      </c>
      <c r="P784" s="1" t="s">
        <v>4587</v>
      </c>
      <c r="Q784" s="3">
        <v>0</v>
      </c>
      <c r="S784" s="23" t="s">
        <v>5949</v>
      </c>
      <c r="T784" s="23" t="s">
        <v>4931</v>
      </c>
      <c r="U784" s="3">
        <v>34</v>
      </c>
      <c r="W784" s="45" t="str">
        <f>HYPERLINK("http://ictvonline.org/taxonomy/p/taxonomy-history?taxnode_id=201851978","ICTVonline=201851978")</f>
        <v>ICTVonline=201851978</v>
      </c>
      <c r="AA784" s="1">
        <v>201850000</v>
      </c>
      <c r="AB784" s="1">
        <v>34</v>
      </c>
    </row>
    <row r="785" spans="1:28" x14ac:dyDescent="0.15">
      <c r="A785" s="1">
        <v>2214</v>
      </c>
      <c r="B785" s="1" t="s">
        <v>7159</v>
      </c>
      <c r="J785" s="1" t="s">
        <v>1074</v>
      </c>
      <c r="L785" s="1" t="s">
        <v>1119</v>
      </c>
      <c r="N785" s="1" t="s">
        <v>2172</v>
      </c>
      <c r="P785" s="1" t="s">
        <v>4588</v>
      </c>
      <c r="Q785" s="3">
        <v>0</v>
      </c>
      <c r="S785" s="23" t="s">
        <v>5949</v>
      </c>
      <c r="T785" s="23" t="s">
        <v>4931</v>
      </c>
      <c r="U785" s="3">
        <v>34</v>
      </c>
      <c r="W785" s="45" t="str">
        <f>HYPERLINK("http://ictvonline.org/taxonomy/p/taxonomy-history?taxnode_id=201851979","ICTVonline=201851979")</f>
        <v>ICTVonline=201851979</v>
      </c>
      <c r="AA785" s="1">
        <v>201850000</v>
      </c>
      <c r="AB785" s="1">
        <v>34</v>
      </c>
    </row>
    <row r="786" spans="1:28" x14ac:dyDescent="0.15">
      <c r="A786" s="1">
        <v>2218</v>
      </c>
      <c r="B786" s="1" t="s">
        <v>7159</v>
      </c>
      <c r="J786" s="1" t="s">
        <v>1074</v>
      </c>
      <c r="L786" s="1" t="s">
        <v>1119</v>
      </c>
      <c r="N786" s="1" t="s">
        <v>5161</v>
      </c>
      <c r="P786" s="1" t="s">
        <v>5162</v>
      </c>
      <c r="Q786" s="3">
        <v>0</v>
      </c>
      <c r="S786" s="23" t="s">
        <v>5949</v>
      </c>
      <c r="T786" s="23" t="s">
        <v>4931</v>
      </c>
      <c r="U786" s="3">
        <v>34</v>
      </c>
      <c r="W786" s="45" t="str">
        <f>HYPERLINK("http://ictvonline.org/taxonomy/p/taxonomy-history?taxnode_id=201855593","ICTVonline=201855593")</f>
        <v>ICTVonline=201855593</v>
      </c>
      <c r="AA786" s="1">
        <v>201850000</v>
      </c>
      <c r="AB786" s="1">
        <v>34</v>
      </c>
    </row>
    <row r="787" spans="1:28" x14ac:dyDescent="0.15">
      <c r="A787" s="1">
        <v>2220</v>
      </c>
      <c r="B787" s="1" t="s">
        <v>7159</v>
      </c>
      <c r="J787" s="1" t="s">
        <v>1074</v>
      </c>
      <c r="L787" s="1" t="s">
        <v>1119</v>
      </c>
      <c r="N787" s="1" t="s">
        <v>5161</v>
      </c>
      <c r="P787" s="1" t="s">
        <v>5163</v>
      </c>
      <c r="Q787" s="3">
        <v>1</v>
      </c>
      <c r="S787" s="23" t="s">
        <v>5949</v>
      </c>
      <c r="T787" s="23" t="s">
        <v>4931</v>
      </c>
      <c r="U787" s="3">
        <v>34</v>
      </c>
      <c r="W787" s="45" t="str">
        <f>HYPERLINK("http://ictvonline.org/taxonomy/p/taxonomy-history?taxnode_id=201855594","ICTVonline=201855594")</f>
        <v>ICTVonline=201855594</v>
      </c>
      <c r="AA787" s="1">
        <v>201850000</v>
      </c>
      <c r="AB787" s="1">
        <v>34</v>
      </c>
    </row>
    <row r="788" spans="1:28" x14ac:dyDescent="0.15">
      <c r="A788" s="1">
        <v>2224</v>
      </c>
      <c r="B788" s="1" t="s">
        <v>7159</v>
      </c>
      <c r="J788" s="1" t="s">
        <v>1074</v>
      </c>
      <c r="L788" s="1" t="s">
        <v>1119</v>
      </c>
      <c r="N788" s="1" t="s">
        <v>2174</v>
      </c>
      <c r="P788" s="1" t="s">
        <v>2175</v>
      </c>
      <c r="Q788" s="3">
        <v>1</v>
      </c>
      <c r="S788" s="23" t="s">
        <v>5949</v>
      </c>
      <c r="T788" s="23" t="s">
        <v>4931</v>
      </c>
      <c r="U788" s="3">
        <v>34</v>
      </c>
      <c r="W788" s="45" t="str">
        <f>HYPERLINK("http://ictvonline.org/taxonomy/p/taxonomy-history?taxnode_id=201851981","ICTVonline=201851981")</f>
        <v>ICTVonline=201851981</v>
      </c>
      <c r="AA788" s="1">
        <v>201850000</v>
      </c>
      <c r="AB788" s="1">
        <v>34</v>
      </c>
    </row>
    <row r="789" spans="1:28" x14ac:dyDescent="0.15">
      <c r="A789" s="1">
        <v>2226</v>
      </c>
      <c r="B789" s="1" t="s">
        <v>7159</v>
      </c>
      <c r="J789" s="1" t="s">
        <v>1074</v>
      </c>
      <c r="L789" s="1" t="s">
        <v>1119</v>
      </c>
      <c r="N789" s="1" t="s">
        <v>2174</v>
      </c>
      <c r="P789" s="1" t="s">
        <v>6899</v>
      </c>
      <c r="Q789" s="3">
        <v>0</v>
      </c>
      <c r="S789" s="23" t="s">
        <v>5949</v>
      </c>
      <c r="T789" s="23" t="s">
        <v>4929</v>
      </c>
      <c r="U789" s="3">
        <v>34</v>
      </c>
      <c r="V789" s="3" t="s">
        <v>6900</v>
      </c>
      <c r="W789" s="45" t="str">
        <f>HYPERLINK("http://ictvonline.org/taxonomy/p/taxonomy-history?taxnode_id=201856291","ICTVonline=201856291")</f>
        <v>ICTVonline=201856291</v>
      </c>
      <c r="AA789" s="1">
        <v>201850000</v>
      </c>
      <c r="AB789" s="1">
        <v>34</v>
      </c>
    </row>
    <row r="790" spans="1:28" x14ac:dyDescent="0.15">
      <c r="A790" s="1">
        <v>2230</v>
      </c>
      <c r="B790" s="1" t="s">
        <v>7159</v>
      </c>
      <c r="J790" s="1" t="s">
        <v>1074</v>
      </c>
      <c r="L790" s="1" t="s">
        <v>1119</v>
      </c>
      <c r="N790" s="1" t="s">
        <v>625</v>
      </c>
      <c r="P790" s="1" t="s">
        <v>2176</v>
      </c>
      <c r="Q790" s="3">
        <v>0</v>
      </c>
      <c r="S790" s="23" t="s">
        <v>5949</v>
      </c>
      <c r="T790" s="23" t="s">
        <v>4931</v>
      </c>
      <c r="U790" s="3">
        <v>34</v>
      </c>
      <c r="W790" s="45" t="str">
        <f>HYPERLINK("http://ictvonline.org/taxonomy/p/taxonomy-history?taxnode_id=201851983","ICTVonline=201851983")</f>
        <v>ICTVonline=201851983</v>
      </c>
      <c r="AA790" s="1">
        <v>201850000</v>
      </c>
      <c r="AB790" s="1">
        <v>34</v>
      </c>
    </row>
    <row r="791" spans="1:28" x14ac:dyDescent="0.15">
      <c r="A791" s="1">
        <v>2232</v>
      </c>
      <c r="B791" s="1" t="s">
        <v>7159</v>
      </c>
      <c r="J791" s="1" t="s">
        <v>1074</v>
      </c>
      <c r="L791" s="1" t="s">
        <v>1119</v>
      </c>
      <c r="N791" s="1" t="s">
        <v>625</v>
      </c>
      <c r="P791" s="1" t="s">
        <v>2177</v>
      </c>
      <c r="Q791" s="3">
        <v>0</v>
      </c>
      <c r="S791" s="23" t="s">
        <v>5949</v>
      </c>
      <c r="T791" s="23" t="s">
        <v>4931</v>
      </c>
      <c r="U791" s="3">
        <v>34</v>
      </c>
      <c r="W791" s="45" t="str">
        <f>HYPERLINK("http://ictvonline.org/taxonomy/p/taxonomy-history?taxnode_id=201851984","ICTVonline=201851984")</f>
        <v>ICTVonline=201851984</v>
      </c>
      <c r="AA791" s="1">
        <v>201850000</v>
      </c>
      <c r="AB791" s="1">
        <v>34</v>
      </c>
    </row>
    <row r="792" spans="1:28" x14ac:dyDescent="0.15">
      <c r="A792" s="1">
        <v>2234</v>
      </c>
      <c r="B792" s="1" t="s">
        <v>7159</v>
      </c>
      <c r="J792" s="1" t="s">
        <v>1074</v>
      </c>
      <c r="L792" s="1" t="s">
        <v>1119</v>
      </c>
      <c r="N792" s="1" t="s">
        <v>625</v>
      </c>
      <c r="P792" s="1" t="s">
        <v>2178</v>
      </c>
      <c r="Q792" s="3">
        <v>1</v>
      </c>
      <c r="S792" s="23" t="s">
        <v>5949</v>
      </c>
      <c r="T792" s="23" t="s">
        <v>4931</v>
      </c>
      <c r="U792" s="3">
        <v>34</v>
      </c>
      <c r="W792" s="45" t="str">
        <f>HYPERLINK("http://ictvonline.org/taxonomy/p/taxonomy-history?taxnode_id=201851985","ICTVonline=201851985")</f>
        <v>ICTVonline=201851985</v>
      </c>
      <c r="AA792" s="1">
        <v>201850000</v>
      </c>
      <c r="AB792" s="1">
        <v>34</v>
      </c>
    </row>
    <row r="793" spans="1:28" x14ac:dyDescent="0.15">
      <c r="A793" s="1">
        <v>2236</v>
      </c>
      <c r="B793" s="1" t="s">
        <v>7159</v>
      </c>
      <c r="J793" s="1" t="s">
        <v>1074</v>
      </c>
      <c r="L793" s="1" t="s">
        <v>1119</v>
      </c>
      <c r="N793" s="1" t="s">
        <v>625</v>
      </c>
      <c r="P793" s="1" t="s">
        <v>2179</v>
      </c>
      <c r="Q793" s="3">
        <v>0</v>
      </c>
      <c r="S793" s="23" t="s">
        <v>5949</v>
      </c>
      <c r="T793" s="23" t="s">
        <v>4931</v>
      </c>
      <c r="U793" s="3">
        <v>34</v>
      </c>
      <c r="W793" s="45" t="str">
        <f>HYPERLINK("http://ictvonline.org/taxonomy/p/taxonomy-history?taxnode_id=201851986","ICTVonline=201851986")</f>
        <v>ICTVonline=201851986</v>
      </c>
      <c r="AA793" s="1">
        <v>201850000</v>
      </c>
      <c r="AB793" s="1">
        <v>34</v>
      </c>
    </row>
    <row r="794" spans="1:28" x14ac:dyDescent="0.15">
      <c r="A794" s="1">
        <v>2238</v>
      </c>
      <c r="B794" s="1" t="s">
        <v>7159</v>
      </c>
      <c r="J794" s="1" t="s">
        <v>1074</v>
      </c>
      <c r="L794" s="1" t="s">
        <v>1119</v>
      </c>
      <c r="N794" s="1" t="s">
        <v>625</v>
      </c>
      <c r="P794" s="1" t="s">
        <v>2180</v>
      </c>
      <c r="Q794" s="3">
        <v>0</v>
      </c>
      <c r="S794" s="23" t="s">
        <v>5949</v>
      </c>
      <c r="T794" s="23" t="s">
        <v>4931</v>
      </c>
      <c r="U794" s="3">
        <v>34</v>
      </c>
      <c r="W794" s="45" t="str">
        <f>HYPERLINK("http://ictvonline.org/taxonomy/p/taxonomy-history?taxnode_id=201851987","ICTVonline=201851987")</f>
        <v>ICTVonline=201851987</v>
      </c>
      <c r="AA794" s="1">
        <v>201850000</v>
      </c>
      <c r="AB794" s="1">
        <v>34</v>
      </c>
    </row>
    <row r="795" spans="1:28" x14ac:dyDescent="0.15">
      <c r="A795" s="1">
        <v>2240</v>
      </c>
      <c r="B795" s="1" t="s">
        <v>7159</v>
      </c>
      <c r="J795" s="1" t="s">
        <v>1074</v>
      </c>
      <c r="L795" s="1" t="s">
        <v>1119</v>
      </c>
      <c r="N795" s="1" t="s">
        <v>625</v>
      </c>
      <c r="P795" s="1" t="s">
        <v>2181</v>
      </c>
      <c r="Q795" s="3">
        <v>0</v>
      </c>
      <c r="S795" s="23" t="s">
        <v>5949</v>
      </c>
      <c r="T795" s="23" t="s">
        <v>4931</v>
      </c>
      <c r="U795" s="3">
        <v>34</v>
      </c>
      <c r="W795" s="45" t="str">
        <f>HYPERLINK("http://ictvonline.org/taxonomy/p/taxonomy-history?taxnode_id=201851988","ICTVonline=201851988")</f>
        <v>ICTVonline=201851988</v>
      </c>
      <c r="AA795" s="1">
        <v>201850000</v>
      </c>
      <c r="AB795" s="1">
        <v>34</v>
      </c>
    </row>
    <row r="796" spans="1:28" x14ac:dyDescent="0.15">
      <c r="A796" s="1">
        <v>2242</v>
      </c>
      <c r="B796" s="1" t="s">
        <v>7159</v>
      </c>
      <c r="J796" s="1" t="s">
        <v>1074</v>
      </c>
      <c r="L796" s="1" t="s">
        <v>1119</v>
      </c>
      <c r="N796" s="1" t="s">
        <v>625</v>
      </c>
      <c r="P796" s="1" t="s">
        <v>2182</v>
      </c>
      <c r="Q796" s="3">
        <v>0</v>
      </c>
      <c r="S796" s="23" t="s">
        <v>5949</v>
      </c>
      <c r="T796" s="23" t="s">
        <v>4931</v>
      </c>
      <c r="U796" s="3">
        <v>34</v>
      </c>
      <c r="W796" s="45" t="str">
        <f>HYPERLINK("http://ictvonline.org/taxonomy/p/taxonomy-history?taxnode_id=201851989","ICTVonline=201851989")</f>
        <v>ICTVonline=201851989</v>
      </c>
      <c r="AA796" s="1">
        <v>201850000</v>
      </c>
      <c r="AB796" s="1">
        <v>34</v>
      </c>
    </row>
    <row r="797" spans="1:28" x14ac:dyDescent="0.15">
      <c r="A797" s="1">
        <v>2244</v>
      </c>
      <c r="B797" s="1" t="s">
        <v>7159</v>
      </c>
      <c r="J797" s="1" t="s">
        <v>1074</v>
      </c>
      <c r="L797" s="1" t="s">
        <v>1119</v>
      </c>
      <c r="N797" s="1" t="s">
        <v>625</v>
      </c>
      <c r="P797" s="1" t="s">
        <v>2183</v>
      </c>
      <c r="Q797" s="3">
        <v>0</v>
      </c>
      <c r="S797" s="23" t="s">
        <v>5949</v>
      </c>
      <c r="T797" s="23" t="s">
        <v>4931</v>
      </c>
      <c r="U797" s="3">
        <v>34</v>
      </c>
      <c r="W797" s="45" t="str">
        <f>HYPERLINK("http://ictvonline.org/taxonomy/p/taxonomy-history?taxnode_id=201851990","ICTVonline=201851990")</f>
        <v>ICTVonline=201851990</v>
      </c>
      <c r="AA797" s="1">
        <v>201850000</v>
      </c>
      <c r="AB797" s="1">
        <v>34</v>
      </c>
    </row>
    <row r="798" spans="1:28" x14ac:dyDescent="0.15">
      <c r="A798" s="1">
        <v>2246</v>
      </c>
      <c r="B798" s="1" t="s">
        <v>7159</v>
      </c>
      <c r="J798" s="1" t="s">
        <v>1074</v>
      </c>
      <c r="L798" s="1" t="s">
        <v>1119</v>
      </c>
      <c r="N798" s="1" t="s">
        <v>625</v>
      </c>
      <c r="P798" s="1" t="s">
        <v>4589</v>
      </c>
      <c r="Q798" s="3">
        <v>0</v>
      </c>
      <c r="S798" s="23" t="s">
        <v>5949</v>
      </c>
      <c r="T798" s="23" t="s">
        <v>4931</v>
      </c>
      <c r="U798" s="3">
        <v>34</v>
      </c>
      <c r="W798" s="45" t="str">
        <f>HYPERLINK("http://ictvonline.org/taxonomy/p/taxonomy-history?taxnode_id=201851991","ICTVonline=201851991")</f>
        <v>ICTVonline=201851991</v>
      </c>
      <c r="AA798" s="1">
        <v>201850000</v>
      </c>
      <c r="AB798" s="1">
        <v>34</v>
      </c>
    </row>
    <row r="799" spans="1:28" x14ac:dyDescent="0.15">
      <c r="A799" s="1">
        <v>2248</v>
      </c>
      <c r="B799" s="1" t="s">
        <v>7159</v>
      </c>
      <c r="J799" s="1" t="s">
        <v>1074</v>
      </c>
      <c r="L799" s="1" t="s">
        <v>1119</v>
      </c>
      <c r="N799" s="1" t="s">
        <v>625</v>
      </c>
      <c r="P799" s="1" t="s">
        <v>2184</v>
      </c>
      <c r="Q799" s="3">
        <v>0</v>
      </c>
      <c r="S799" s="23" t="s">
        <v>5949</v>
      </c>
      <c r="T799" s="23" t="s">
        <v>4931</v>
      </c>
      <c r="U799" s="3">
        <v>34</v>
      </c>
      <c r="W799" s="45" t="str">
        <f>HYPERLINK("http://ictvonline.org/taxonomy/p/taxonomy-history?taxnode_id=201851992","ICTVonline=201851992")</f>
        <v>ICTVonline=201851992</v>
      </c>
      <c r="AA799" s="1">
        <v>201850000</v>
      </c>
      <c r="AB799" s="1">
        <v>34</v>
      </c>
    </row>
    <row r="800" spans="1:28" x14ac:dyDescent="0.15">
      <c r="A800" s="1">
        <v>2250</v>
      </c>
      <c r="B800" s="1" t="s">
        <v>7159</v>
      </c>
      <c r="J800" s="1" t="s">
        <v>1074</v>
      </c>
      <c r="L800" s="1" t="s">
        <v>1119</v>
      </c>
      <c r="N800" s="1" t="s">
        <v>625</v>
      </c>
      <c r="P800" s="1" t="s">
        <v>5164</v>
      </c>
      <c r="Q800" s="3">
        <v>0</v>
      </c>
      <c r="S800" s="23" t="s">
        <v>5949</v>
      </c>
      <c r="T800" s="23" t="s">
        <v>4931</v>
      </c>
      <c r="U800" s="3">
        <v>34</v>
      </c>
      <c r="W800" s="45" t="str">
        <f>HYPERLINK("http://ictvonline.org/taxonomy/p/taxonomy-history?taxnode_id=201855596","ICTVonline=201855596")</f>
        <v>ICTVonline=201855596</v>
      </c>
      <c r="AA800" s="1">
        <v>201850000</v>
      </c>
      <c r="AB800" s="1">
        <v>34</v>
      </c>
    </row>
    <row r="801" spans="1:28" x14ac:dyDescent="0.15">
      <c r="A801" s="1">
        <v>2252</v>
      </c>
      <c r="B801" s="1" t="s">
        <v>7159</v>
      </c>
      <c r="J801" s="1" t="s">
        <v>1074</v>
      </c>
      <c r="L801" s="1" t="s">
        <v>1119</v>
      </c>
      <c r="N801" s="1" t="s">
        <v>625</v>
      </c>
      <c r="P801" s="1" t="s">
        <v>5165</v>
      </c>
      <c r="Q801" s="3">
        <v>0</v>
      </c>
      <c r="S801" s="23" t="s">
        <v>5949</v>
      </c>
      <c r="T801" s="23" t="s">
        <v>4931</v>
      </c>
      <c r="U801" s="3">
        <v>34</v>
      </c>
      <c r="W801" s="45" t="str">
        <f>HYPERLINK("http://ictvonline.org/taxonomy/p/taxonomy-history?taxnode_id=201855597","ICTVonline=201855597")</f>
        <v>ICTVonline=201855597</v>
      </c>
      <c r="AA801" s="1">
        <v>201850000</v>
      </c>
      <c r="AB801" s="1">
        <v>34</v>
      </c>
    </row>
    <row r="802" spans="1:28" x14ac:dyDescent="0.15">
      <c r="A802" s="1">
        <v>2254</v>
      </c>
      <c r="B802" s="1" t="s">
        <v>7159</v>
      </c>
      <c r="J802" s="1" t="s">
        <v>1074</v>
      </c>
      <c r="L802" s="1" t="s">
        <v>1119</v>
      </c>
      <c r="N802" s="1" t="s">
        <v>625</v>
      </c>
      <c r="P802" s="1" t="s">
        <v>2185</v>
      </c>
      <c r="Q802" s="3">
        <v>0</v>
      </c>
      <c r="S802" s="23" t="s">
        <v>5949</v>
      </c>
      <c r="T802" s="23" t="s">
        <v>4931</v>
      </c>
      <c r="U802" s="3">
        <v>34</v>
      </c>
      <c r="W802" s="45" t="str">
        <f>HYPERLINK("http://ictvonline.org/taxonomy/p/taxonomy-history?taxnode_id=201851993","ICTVonline=201851993")</f>
        <v>ICTVonline=201851993</v>
      </c>
      <c r="AA802" s="1">
        <v>201850000</v>
      </c>
      <c r="AB802" s="1">
        <v>34</v>
      </c>
    </row>
    <row r="803" spans="1:28" x14ac:dyDescent="0.15">
      <c r="A803" s="1">
        <v>2256</v>
      </c>
      <c r="B803" s="1" t="s">
        <v>7159</v>
      </c>
      <c r="J803" s="1" t="s">
        <v>1074</v>
      </c>
      <c r="L803" s="1" t="s">
        <v>1119</v>
      </c>
      <c r="N803" s="1" t="s">
        <v>625</v>
      </c>
      <c r="P803" s="1" t="s">
        <v>2186</v>
      </c>
      <c r="Q803" s="3">
        <v>0</v>
      </c>
      <c r="S803" s="23" t="s">
        <v>5949</v>
      </c>
      <c r="T803" s="23" t="s">
        <v>4931</v>
      </c>
      <c r="U803" s="3">
        <v>34</v>
      </c>
      <c r="W803" s="45" t="str">
        <f>HYPERLINK("http://ictvonline.org/taxonomy/p/taxonomy-history?taxnode_id=201851994","ICTVonline=201851994")</f>
        <v>ICTVonline=201851994</v>
      </c>
      <c r="AA803" s="1">
        <v>201850000</v>
      </c>
      <c r="AB803" s="1">
        <v>34</v>
      </c>
    </row>
    <row r="804" spans="1:28" x14ac:dyDescent="0.15">
      <c r="A804" s="1">
        <v>2258</v>
      </c>
      <c r="B804" s="1" t="s">
        <v>7159</v>
      </c>
      <c r="J804" s="1" t="s">
        <v>1074</v>
      </c>
      <c r="L804" s="1" t="s">
        <v>1119</v>
      </c>
      <c r="N804" s="1" t="s">
        <v>625</v>
      </c>
      <c r="P804" s="1" t="s">
        <v>2187</v>
      </c>
      <c r="Q804" s="3">
        <v>0</v>
      </c>
      <c r="S804" s="23" t="s">
        <v>5949</v>
      </c>
      <c r="T804" s="23" t="s">
        <v>4931</v>
      </c>
      <c r="U804" s="3">
        <v>34</v>
      </c>
      <c r="W804" s="45" t="str">
        <f>HYPERLINK("http://ictvonline.org/taxonomy/p/taxonomy-history?taxnode_id=201851995","ICTVonline=201851995")</f>
        <v>ICTVonline=201851995</v>
      </c>
      <c r="AA804" s="1">
        <v>201850000</v>
      </c>
      <c r="AB804" s="1">
        <v>34</v>
      </c>
    </row>
    <row r="805" spans="1:28" x14ac:dyDescent="0.15">
      <c r="A805" s="1">
        <v>2262</v>
      </c>
      <c r="B805" s="1" t="s">
        <v>7159</v>
      </c>
      <c r="J805" s="1" t="s">
        <v>1074</v>
      </c>
      <c r="L805" s="1" t="s">
        <v>1119</v>
      </c>
      <c r="N805" s="1" t="s">
        <v>628</v>
      </c>
      <c r="P805" s="1" t="s">
        <v>2632</v>
      </c>
      <c r="Q805" s="3">
        <v>1</v>
      </c>
      <c r="S805" s="23" t="s">
        <v>5949</v>
      </c>
      <c r="T805" s="23" t="s">
        <v>4931</v>
      </c>
      <c r="U805" s="3">
        <v>34</v>
      </c>
      <c r="W805" s="45" t="str">
        <f>HYPERLINK("http://ictvonline.org/taxonomy/p/taxonomy-history?taxnode_id=201851997","ICTVonline=201851997")</f>
        <v>ICTVonline=201851997</v>
      </c>
      <c r="AA805" s="1">
        <v>201850000</v>
      </c>
      <c r="AB805" s="1">
        <v>34</v>
      </c>
    </row>
    <row r="806" spans="1:28" x14ac:dyDescent="0.15">
      <c r="A806" s="1">
        <v>2266</v>
      </c>
      <c r="B806" s="1" t="s">
        <v>7159</v>
      </c>
      <c r="J806" s="1" t="s">
        <v>1074</v>
      </c>
      <c r="L806" s="1" t="s">
        <v>1119</v>
      </c>
      <c r="N806" s="1" t="s">
        <v>2305</v>
      </c>
      <c r="P806" s="1" t="s">
        <v>2306</v>
      </c>
      <c r="Q806" s="3">
        <v>1</v>
      </c>
      <c r="S806" s="23" t="s">
        <v>5949</v>
      </c>
      <c r="T806" s="23" t="s">
        <v>4931</v>
      </c>
      <c r="U806" s="3">
        <v>34</v>
      </c>
      <c r="W806" s="45" t="str">
        <f>HYPERLINK("http://ictvonline.org/taxonomy/p/taxonomy-history?taxnode_id=201851999","ICTVonline=201851999")</f>
        <v>ICTVonline=201851999</v>
      </c>
      <c r="AA806" s="1">
        <v>201850000</v>
      </c>
      <c r="AB806" s="1">
        <v>34</v>
      </c>
    </row>
    <row r="807" spans="1:28" x14ac:dyDescent="0.15">
      <c r="A807" s="1">
        <v>2270</v>
      </c>
      <c r="B807" s="1" t="s">
        <v>7159</v>
      </c>
      <c r="J807" s="1" t="s">
        <v>1074</v>
      </c>
      <c r="L807" s="1" t="s">
        <v>1119</v>
      </c>
      <c r="N807" s="1" t="s">
        <v>4590</v>
      </c>
      <c r="P807" s="1" t="s">
        <v>4591</v>
      </c>
      <c r="Q807" s="3">
        <v>1</v>
      </c>
      <c r="S807" s="23" t="s">
        <v>5949</v>
      </c>
      <c r="T807" s="23" t="s">
        <v>4931</v>
      </c>
      <c r="U807" s="3">
        <v>34</v>
      </c>
      <c r="W807" s="45" t="str">
        <f>HYPERLINK("http://ictvonline.org/taxonomy/p/taxonomy-history?taxnode_id=201852001","ICTVonline=201852001")</f>
        <v>ICTVonline=201852001</v>
      </c>
      <c r="AA807" s="1">
        <v>201850000</v>
      </c>
      <c r="AB807" s="1">
        <v>34</v>
      </c>
    </row>
    <row r="808" spans="1:28" x14ac:dyDescent="0.15">
      <c r="A808" s="1">
        <v>2274</v>
      </c>
      <c r="B808" s="1" t="s">
        <v>7159</v>
      </c>
      <c r="J808" s="1" t="s">
        <v>1074</v>
      </c>
      <c r="L808" s="1" t="s">
        <v>1119</v>
      </c>
      <c r="N808" s="1" t="s">
        <v>629</v>
      </c>
      <c r="P808" s="1" t="s">
        <v>2633</v>
      </c>
      <c r="Q808" s="3">
        <v>1</v>
      </c>
      <c r="S808" s="23" t="s">
        <v>5949</v>
      </c>
      <c r="T808" s="23" t="s">
        <v>4931</v>
      </c>
      <c r="U808" s="3">
        <v>34</v>
      </c>
      <c r="W808" s="45" t="str">
        <f>HYPERLINK("http://ictvonline.org/taxonomy/p/taxonomy-history?taxnode_id=201852003","ICTVonline=201852003")</f>
        <v>ICTVonline=201852003</v>
      </c>
      <c r="AA808" s="1">
        <v>201850000</v>
      </c>
      <c r="AB808" s="1">
        <v>34</v>
      </c>
    </row>
    <row r="809" spans="1:28" x14ac:dyDescent="0.15">
      <c r="A809" s="1">
        <v>2276</v>
      </c>
      <c r="B809" s="1" t="s">
        <v>7159</v>
      </c>
      <c r="J809" s="1" t="s">
        <v>1074</v>
      </c>
      <c r="L809" s="1" t="s">
        <v>1119</v>
      </c>
      <c r="N809" s="1" t="s">
        <v>629</v>
      </c>
      <c r="P809" s="1" t="s">
        <v>4592</v>
      </c>
      <c r="Q809" s="3">
        <v>0</v>
      </c>
      <c r="S809" s="23" t="s">
        <v>5949</v>
      </c>
      <c r="T809" s="23" t="s">
        <v>4931</v>
      </c>
      <c r="U809" s="3">
        <v>34</v>
      </c>
      <c r="W809" s="45" t="str">
        <f>HYPERLINK("http://ictvonline.org/taxonomy/p/taxonomy-history?taxnode_id=201852004","ICTVonline=201852004")</f>
        <v>ICTVonline=201852004</v>
      </c>
      <c r="AA809" s="1">
        <v>201850000</v>
      </c>
      <c r="AB809" s="1">
        <v>34</v>
      </c>
    </row>
    <row r="810" spans="1:28" x14ac:dyDescent="0.15">
      <c r="A810" s="1">
        <v>2278</v>
      </c>
      <c r="B810" s="1" t="s">
        <v>7159</v>
      </c>
      <c r="J810" s="1" t="s">
        <v>1074</v>
      </c>
      <c r="L810" s="1" t="s">
        <v>1119</v>
      </c>
      <c r="N810" s="1" t="s">
        <v>629</v>
      </c>
      <c r="P810" s="1" t="s">
        <v>4593</v>
      </c>
      <c r="Q810" s="3">
        <v>0</v>
      </c>
      <c r="S810" s="23" t="s">
        <v>5949</v>
      </c>
      <c r="T810" s="23" t="s">
        <v>4931</v>
      </c>
      <c r="U810" s="3">
        <v>34</v>
      </c>
      <c r="W810" s="45" t="str">
        <f>HYPERLINK("http://ictvonline.org/taxonomy/p/taxonomy-history?taxnode_id=201852005","ICTVonline=201852005")</f>
        <v>ICTVonline=201852005</v>
      </c>
      <c r="AA810" s="1">
        <v>201850000</v>
      </c>
      <c r="AB810" s="1">
        <v>34</v>
      </c>
    </row>
    <row r="811" spans="1:28" x14ac:dyDescent="0.15">
      <c r="A811" s="1">
        <v>2280</v>
      </c>
      <c r="B811" s="1" t="s">
        <v>7159</v>
      </c>
      <c r="J811" s="1" t="s">
        <v>1074</v>
      </c>
      <c r="L811" s="1" t="s">
        <v>1119</v>
      </c>
      <c r="N811" s="1" t="s">
        <v>629</v>
      </c>
      <c r="P811" s="1" t="s">
        <v>4594</v>
      </c>
      <c r="Q811" s="3">
        <v>0</v>
      </c>
      <c r="S811" s="23" t="s">
        <v>5949</v>
      </c>
      <c r="T811" s="23" t="s">
        <v>4931</v>
      </c>
      <c r="U811" s="3">
        <v>34</v>
      </c>
      <c r="W811" s="45" t="str">
        <f>HYPERLINK("http://ictvonline.org/taxonomy/p/taxonomy-history?taxnode_id=201852006","ICTVonline=201852006")</f>
        <v>ICTVonline=201852006</v>
      </c>
      <c r="AA811" s="1">
        <v>201850000</v>
      </c>
      <c r="AB811" s="1">
        <v>34</v>
      </c>
    </row>
    <row r="812" spans="1:28" x14ac:dyDescent="0.15">
      <c r="A812" s="1">
        <v>2282</v>
      </c>
      <c r="B812" s="1" t="s">
        <v>7159</v>
      </c>
      <c r="J812" s="1" t="s">
        <v>1074</v>
      </c>
      <c r="L812" s="1" t="s">
        <v>1119</v>
      </c>
      <c r="N812" s="1" t="s">
        <v>629</v>
      </c>
      <c r="P812" s="1" t="s">
        <v>4595</v>
      </c>
      <c r="Q812" s="3">
        <v>0</v>
      </c>
      <c r="S812" s="23" t="s">
        <v>5949</v>
      </c>
      <c r="T812" s="23" t="s">
        <v>4931</v>
      </c>
      <c r="U812" s="3">
        <v>34</v>
      </c>
      <c r="W812" s="45" t="str">
        <f>HYPERLINK("http://ictvonline.org/taxonomy/p/taxonomy-history?taxnode_id=201852007","ICTVonline=201852007")</f>
        <v>ICTVonline=201852007</v>
      </c>
      <c r="AA812" s="1">
        <v>201850000</v>
      </c>
      <c r="AB812" s="1">
        <v>34</v>
      </c>
    </row>
    <row r="813" spans="1:28" x14ac:dyDescent="0.15">
      <c r="A813" s="1">
        <v>2284</v>
      </c>
      <c r="B813" s="1" t="s">
        <v>7159</v>
      </c>
      <c r="J813" s="1" t="s">
        <v>1074</v>
      </c>
      <c r="L813" s="1" t="s">
        <v>1119</v>
      </c>
      <c r="N813" s="1" t="s">
        <v>629</v>
      </c>
      <c r="P813" s="1" t="s">
        <v>4596</v>
      </c>
      <c r="Q813" s="3">
        <v>0</v>
      </c>
      <c r="S813" s="23" t="s">
        <v>5949</v>
      </c>
      <c r="T813" s="23" t="s">
        <v>4931</v>
      </c>
      <c r="U813" s="3">
        <v>34</v>
      </c>
      <c r="W813" s="45" t="str">
        <f>HYPERLINK("http://ictvonline.org/taxonomy/p/taxonomy-history?taxnode_id=201852008","ICTVonline=201852008")</f>
        <v>ICTVonline=201852008</v>
      </c>
      <c r="AA813" s="1">
        <v>201850000</v>
      </c>
      <c r="AB813" s="1">
        <v>34</v>
      </c>
    </row>
    <row r="814" spans="1:28" x14ac:dyDescent="0.15">
      <c r="A814" s="1">
        <v>2286</v>
      </c>
      <c r="B814" s="1" t="s">
        <v>7159</v>
      </c>
      <c r="J814" s="1" t="s">
        <v>1074</v>
      </c>
      <c r="L814" s="1" t="s">
        <v>1119</v>
      </c>
      <c r="N814" s="1" t="s">
        <v>629</v>
      </c>
      <c r="P814" s="1" t="s">
        <v>4597</v>
      </c>
      <c r="Q814" s="3">
        <v>0</v>
      </c>
      <c r="S814" s="23" t="s">
        <v>5949</v>
      </c>
      <c r="T814" s="23" t="s">
        <v>4931</v>
      </c>
      <c r="U814" s="3">
        <v>34</v>
      </c>
      <c r="W814" s="45" t="str">
        <f>HYPERLINK("http://ictvonline.org/taxonomy/p/taxonomy-history?taxnode_id=201852009","ICTVonline=201852009")</f>
        <v>ICTVonline=201852009</v>
      </c>
      <c r="AA814" s="1">
        <v>201850000</v>
      </c>
      <c r="AB814" s="1">
        <v>34</v>
      </c>
    </row>
    <row r="815" spans="1:28" x14ac:dyDescent="0.15">
      <c r="A815" s="1">
        <v>2288</v>
      </c>
      <c r="B815" s="1" t="s">
        <v>7159</v>
      </c>
      <c r="J815" s="1" t="s">
        <v>1074</v>
      </c>
      <c r="L815" s="1" t="s">
        <v>1119</v>
      </c>
      <c r="N815" s="1" t="s">
        <v>629</v>
      </c>
      <c r="P815" s="1" t="s">
        <v>4598</v>
      </c>
      <c r="Q815" s="3">
        <v>0</v>
      </c>
      <c r="S815" s="23" t="s">
        <v>5949</v>
      </c>
      <c r="T815" s="23" t="s">
        <v>4931</v>
      </c>
      <c r="U815" s="3">
        <v>34</v>
      </c>
      <c r="W815" s="45" t="str">
        <f>HYPERLINK("http://ictvonline.org/taxonomy/p/taxonomy-history?taxnode_id=201852010","ICTVonline=201852010")</f>
        <v>ICTVonline=201852010</v>
      </c>
      <c r="AA815" s="1">
        <v>201850000</v>
      </c>
      <c r="AB815" s="1">
        <v>34</v>
      </c>
    </row>
    <row r="816" spans="1:28" x14ac:dyDescent="0.15">
      <c r="A816" s="1">
        <v>2290</v>
      </c>
      <c r="B816" s="1" t="s">
        <v>7159</v>
      </c>
      <c r="J816" s="1" t="s">
        <v>1074</v>
      </c>
      <c r="L816" s="1" t="s">
        <v>1119</v>
      </c>
      <c r="N816" s="1" t="s">
        <v>629</v>
      </c>
      <c r="P816" s="1" t="s">
        <v>4599</v>
      </c>
      <c r="Q816" s="3">
        <v>0</v>
      </c>
      <c r="S816" s="23" t="s">
        <v>5949</v>
      </c>
      <c r="T816" s="23" t="s">
        <v>4931</v>
      </c>
      <c r="U816" s="3">
        <v>34</v>
      </c>
      <c r="W816" s="45" t="str">
        <f>HYPERLINK("http://ictvonline.org/taxonomy/p/taxonomy-history?taxnode_id=201852011","ICTVonline=201852011")</f>
        <v>ICTVonline=201852011</v>
      </c>
      <c r="AA816" s="1">
        <v>201850000</v>
      </c>
      <c r="AB816" s="1">
        <v>34</v>
      </c>
    </row>
    <row r="817" spans="1:28" x14ac:dyDescent="0.15">
      <c r="A817" s="1">
        <v>2294</v>
      </c>
      <c r="B817" s="1" t="s">
        <v>7159</v>
      </c>
      <c r="J817" s="1" t="s">
        <v>1074</v>
      </c>
      <c r="L817" s="1" t="s">
        <v>1119</v>
      </c>
      <c r="N817" s="1" t="s">
        <v>2307</v>
      </c>
      <c r="P817" s="1" t="s">
        <v>2308</v>
      </c>
      <c r="Q817" s="3">
        <v>1</v>
      </c>
      <c r="S817" s="23" t="s">
        <v>5949</v>
      </c>
      <c r="T817" s="23" t="s">
        <v>4931</v>
      </c>
      <c r="U817" s="3">
        <v>34</v>
      </c>
      <c r="W817" s="45" t="str">
        <f>HYPERLINK("http://ictvonline.org/taxonomy/p/taxonomy-history?taxnode_id=201852013","ICTVonline=201852013")</f>
        <v>ICTVonline=201852013</v>
      </c>
      <c r="AA817" s="1">
        <v>201850000</v>
      </c>
      <c r="AB817" s="1">
        <v>34</v>
      </c>
    </row>
    <row r="818" spans="1:28" x14ac:dyDescent="0.15">
      <c r="A818" s="1">
        <v>2298</v>
      </c>
      <c r="B818" s="1" t="s">
        <v>7159</v>
      </c>
      <c r="J818" s="1" t="s">
        <v>1074</v>
      </c>
      <c r="L818" s="1" t="s">
        <v>1119</v>
      </c>
      <c r="N818" s="1" t="s">
        <v>630</v>
      </c>
      <c r="P818" s="1" t="s">
        <v>2188</v>
      </c>
      <c r="Q818" s="3">
        <v>1</v>
      </c>
      <c r="S818" s="23" t="s">
        <v>5949</v>
      </c>
      <c r="T818" s="23" t="s">
        <v>4931</v>
      </c>
      <c r="U818" s="3">
        <v>34</v>
      </c>
      <c r="W818" s="45" t="str">
        <f>HYPERLINK("http://ictvonline.org/taxonomy/p/taxonomy-history?taxnode_id=201852015","ICTVonline=201852015")</f>
        <v>ICTVonline=201852015</v>
      </c>
      <c r="AA818" s="1">
        <v>201850000</v>
      </c>
      <c r="AB818" s="1">
        <v>34</v>
      </c>
    </row>
    <row r="819" spans="1:28" x14ac:dyDescent="0.15">
      <c r="A819" s="1">
        <v>2300</v>
      </c>
      <c r="B819" s="1" t="s">
        <v>7159</v>
      </c>
      <c r="J819" s="1" t="s">
        <v>1074</v>
      </c>
      <c r="L819" s="1" t="s">
        <v>1119</v>
      </c>
      <c r="N819" s="1" t="s">
        <v>630</v>
      </c>
      <c r="P819" s="1" t="s">
        <v>2189</v>
      </c>
      <c r="Q819" s="3">
        <v>0</v>
      </c>
      <c r="S819" s="23" t="s">
        <v>5949</v>
      </c>
      <c r="T819" s="23" t="s">
        <v>4931</v>
      </c>
      <c r="U819" s="3">
        <v>34</v>
      </c>
      <c r="W819" s="45" t="str">
        <f>HYPERLINK("http://ictvonline.org/taxonomy/p/taxonomy-history?taxnode_id=201852016","ICTVonline=201852016")</f>
        <v>ICTVonline=201852016</v>
      </c>
      <c r="AA819" s="1">
        <v>201850000</v>
      </c>
      <c r="AB819" s="1">
        <v>34</v>
      </c>
    </row>
    <row r="820" spans="1:28" x14ac:dyDescent="0.15">
      <c r="A820" s="1">
        <v>2302</v>
      </c>
      <c r="B820" s="1" t="s">
        <v>7159</v>
      </c>
      <c r="J820" s="1" t="s">
        <v>1074</v>
      </c>
      <c r="L820" s="1" t="s">
        <v>1119</v>
      </c>
      <c r="N820" s="1" t="s">
        <v>630</v>
      </c>
      <c r="P820" s="1" t="s">
        <v>2190</v>
      </c>
      <c r="Q820" s="3">
        <v>0</v>
      </c>
      <c r="S820" s="23" t="s">
        <v>5949</v>
      </c>
      <c r="T820" s="23" t="s">
        <v>4931</v>
      </c>
      <c r="U820" s="3">
        <v>34</v>
      </c>
      <c r="W820" s="45" t="str">
        <f>HYPERLINK("http://ictvonline.org/taxonomy/p/taxonomy-history?taxnode_id=201852017","ICTVonline=201852017")</f>
        <v>ICTVonline=201852017</v>
      </c>
      <c r="AA820" s="1">
        <v>201850000</v>
      </c>
      <c r="AB820" s="1">
        <v>34</v>
      </c>
    </row>
    <row r="821" spans="1:28" x14ac:dyDescent="0.15">
      <c r="A821" s="1">
        <v>2304</v>
      </c>
      <c r="B821" s="1" t="s">
        <v>7159</v>
      </c>
      <c r="J821" s="1" t="s">
        <v>1074</v>
      </c>
      <c r="L821" s="1" t="s">
        <v>1119</v>
      </c>
      <c r="N821" s="1" t="s">
        <v>630</v>
      </c>
      <c r="P821" s="1" t="s">
        <v>4600</v>
      </c>
      <c r="Q821" s="3">
        <v>0</v>
      </c>
      <c r="S821" s="23" t="s">
        <v>5949</v>
      </c>
      <c r="T821" s="23" t="s">
        <v>4931</v>
      </c>
      <c r="U821" s="3">
        <v>34</v>
      </c>
      <c r="W821" s="45" t="str">
        <f>HYPERLINK("http://ictvonline.org/taxonomy/p/taxonomy-history?taxnode_id=201852018","ICTVonline=201852018")</f>
        <v>ICTVonline=201852018</v>
      </c>
      <c r="AA821" s="1">
        <v>201850000</v>
      </c>
      <c r="AB821" s="1">
        <v>34</v>
      </c>
    </row>
    <row r="822" spans="1:28" x14ac:dyDescent="0.15">
      <c r="A822" s="1">
        <v>2306</v>
      </c>
      <c r="B822" s="1" t="s">
        <v>7159</v>
      </c>
      <c r="J822" s="1" t="s">
        <v>1074</v>
      </c>
      <c r="L822" s="1" t="s">
        <v>1119</v>
      </c>
      <c r="N822" s="1" t="s">
        <v>630</v>
      </c>
      <c r="P822" s="1" t="s">
        <v>4601</v>
      </c>
      <c r="Q822" s="3">
        <v>0</v>
      </c>
      <c r="S822" s="23" t="s">
        <v>5949</v>
      </c>
      <c r="T822" s="23" t="s">
        <v>4931</v>
      </c>
      <c r="U822" s="3">
        <v>34</v>
      </c>
      <c r="W822" s="45" t="str">
        <f>HYPERLINK("http://ictvonline.org/taxonomy/p/taxonomy-history?taxnode_id=201852019","ICTVonline=201852019")</f>
        <v>ICTVonline=201852019</v>
      </c>
      <c r="AA822" s="1">
        <v>201850000</v>
      </c>
      <c r="AB822" s="1">
        <v>34</v>
      </c>
    </row>
    <row r="823" spans="1:28" x14ac:dyDescent="0.15">
      <c r="A823" s="1">
        <v>2308</v>
      </c>
      <c r="B823" s="1" t="s">
        <v>7159</v>
      </c>
      <c r="J823" s="1" t="s">
        <v>1074</v>
      </c>
      <c r="L823" s="1" t="s">
        <v>1119</v>
      </c>
      <c r="N823" s="1" t="s">
        <v>630</v>
      </c>
      <c r="P823" s="1" t="s">
        <v>4602</v>
      </c>
      <c r="Q823" s="3">
        <v>0</v>
      </c>
      <c r="S823" s="23" t="s">
        <v>5949</v>
      </c>
      <c r="T823" s="23" t="s">
        <v>4931</v>
      </c>
      <c r="U823" s="3">
        <v>34</v>
      </c>
      <c r="W823" s="45" t="str">
        <f>HYPERLINK("http://ictvonline.org/taxonomy/p/taxonomy-history?taxnode_id=201852020","ICTVonline=201852020")</f>
        <v>ICTVonline=201852020</v>
      </c>
      <c r="AA823" s="1">
        <v>201850000</v>
      </c>
      <c r="AB823" s="1">
        <v>34</v>
      </c>
    </row>
    <row r="824" spans="1:28" x14ac:dyDescent="0.15">
      <c r="A824" s="1">
        <v>2312</v>
      </c>
      <c r="B824" s="1" t="s">
        <v>7159</v>
      </c>
      <c r="J824" s="1" t="s">
        <v>1074</v>
      </c>
      <c r="L824" s="1" t="s">
        <v>1119</v>
      </c>
      <c r="N824" s="1" t="s">
        <v>2634</v>
      </c>
      <c r="P824" s="1" t="s">
        <v>2635</v>
      </c>
      <c r="Q824" s="3">
        <v>1</v>
      </c>
      <c r="S824" s="23" t="s">
        <v>5949</v>
      </c>
      <c r="T824" s="23" t="s">
        <v>4931</v>
      </c>
      <c r="U824" s="3">
        <v>34</v>
      </c>
      <c r="W824" s="45" t="str">
        <f>HYPERLINK("http://ictvonline.org/taxonomy/p/taxonomy-history?taxnode_id=201852022","ICTVonline=201852022")</f>
        <v>ICTVonline=201852022</v>
      </c>
      <c r="AA824" s="1">
        <v>201850000</v>
      </c>
      <c r="AB824" s="1">
        <v>34</v>
      </c>
    </row>
    <row r="825" spans="1:28" x14ac:dyDescent="0.15">
      <c r="A825" s="1">
        <v>2314</v>
      </c>
      <c r="B825" s="1" t="s">
        <v>7159</v>
      </c>
      <c r="J825" s="1" t="s">
        <v>1074</v>
      </c>
      <c r="L825" s="1" t="s">
        <v>1119</v>
      </c>
      <c r="N825" s="1" t="s">
        <v>2634</v>
      </c>
      <c r="P825" s="1" t="s">
        <v>5166</v>
      </c>
      <c r="Q825" s="3">
        <v>0</v>
      </c>
      <c r="S825" s="23" t="s">
        <v>5949</v>
      </c>
      <c r="T825" s="23" t="s">
        <v>4931</v>
      </c>
      <c r="U825" s="3">
        <v>34</v>
      </c>
      <c r="W825" s="45" t="str">
        <f>HYPERLINK("http://ictvonline.org/taxonomy/p/taxonomy-history?taxnode_id=201855598","ICTVonline=201855598")</f>
        <v>ICTVonline=201855598</v>
      </c>
      <c r="AA825" s="1">
        <v>201850000</v>
      </c>
      <c r="AB825" s="1">
        <v>34</v>
      </c>
    </row>
    <row r="826" spans="1:28" x14ac:dyDescent="0.15">
      <c r="A826" s="1">
        <v>2316</v>
      </c>
      <c r="B826" s="1" t="s">
        <v>7159</v>
      </c>
      <c r="J826" s="1" t="s">
        <v>1074</v>
      </c>
      <c r="L826" s="1" t="s">
        <v>1119</v>
      </c>
      <c r="N826" s="1" t="s">
        <v>2634</v>
      </c>
      <c r="P826" s="1" t="s">
        <v>5167</v>
      </c>
      <c r="Q826" s="3">
        <v>0</v>
      </c>
      <c r="S826" s="23" t="s">
        <v>5949</v>
      </c>
      <c r="T826" s="23" t="s">
        <v>4931</v>
      </c>
      <c r="U826" s="3">
        <v>34</v>
      </c>
      <c r="W826" s="45" t="str">
        <f>HYPERLINK("http://ictvonline.org/taxonomy/p/taxonomy-history?taxnode_id=201855599","ICTVonline=201855599")</f>
        <v>ICTVonline=201855599</v>
      </c>
      <c r="AA826" s="1">
        <v>201850000</v>
      </c>
      <c r="AB826" s="1">
        <v>34</v>
      </c>
    </row>
    <row r="827" spans="1:28" x14ac:dyDescent="0.15">
      <c r="A827" s="1">
        <v>2320</v>
      </c>
      <c r="B827" s="1" t="s">
        <v>7159</v>
      </c>
      <c r="J827" s="1" t="s">
        <v>1074</v>
      </c>
      <c r="L827" s="1" t="s">
        <v>1119</v>
      </c>
      <c r="N827" s="1" t="s">
        <v>3646</v>
      </c>
      <c r="P827" s="1" t="s">
        <v>3647</v>
      </c>
      <c r="Q827" s="3">
        <v>1</v>
      </c>
      <c r="S827" s="23" t="s">
        <v>5949</v>
      </c>
      <c r="T827" s="23" t="s">
        <v>4931</v>
      </c>
      <c r="U827" s="3">
        <v>34</v>
      </c>
      <c r="W827" s="45" t="str">
        <f>HYPERLINK("http://ictvonline.org/taxonomy/p/taxonomy-history?taxnode_id=201852024","ICTVonline=201852024")</f>
        <v>ICTVonline=201852024</v>
      </c>
      <c r="AA827" s="1">
        <v>201850000</v>
      </c>
      <c r="AB827" s="1">
        <v>34</v>
      </c>
    </row>
    <row r="828" spans="1:28" x14ac:dyDescent="0.15">
      <c r="A828" s="1">
        <v>2322</v>
      </c>
      <c r="B828" s="1" t="s">
        <v>7159</v>
      </c>
      <c r="J828" s="1" t="s">
        <v>1074</v>
      </c>
      <c r="L828" s="1" t="s">
        <v>1119</v>
      </c>
      <c r="N828" s="1" t="s">
        <v>3646</v>
      </c>
      <c r="P828" s="1" t="s">
        <v>3648</v>
      </c>
      <c r="Q828" s="3">
        <v>0</v>
      </c>
      <c r="S828" s="23" t="s">
        <v>5949</v>
      </c>
      <c r="T828" s="23" t="s">
        <v>4931</v>
      </c>
      <c r="U828" s="3">
        <v>34</v>
      </c>
      <c r="W828" s="45" t="str">
        <f>HYPERLINK("http://ictvonline.org/taxonomy/p/taxonomy-history?taxnode_id=201852025","ICTVonline=201852025")</f>
        <v>ICTVonline=201852025</v>
      </c>
      <c r="AA828" s="1">
        <v>201850000</v>
      </c>
      <c r="AB828" s="1">
        <v>34</v>
      </c>
    </row>
    <row r="829" spans="1:28" x14ac:dyDescent="0.15">
      <c r="A829" s="1">
        <v>2324</v>
      </c>
      <c r="B829" s="1" t="s">
        <v>7159</v>
      </c>
      <c r="J829" s="1" t="s">
        <v>1074</v>
      </c>
      <c r="L829" s="1" t="s">
        <v>1119</v>
      </c>
      <c r="N829" s="1" t="s">
        <v>3646</v>
      </c>
      <c r="P829" s="1" t="s">
        <v>3649</v>
      </c>
      <c r="Q829" s="3">
        <v>0</v>
      </c>
      <c r="S829" s="23" t="s">
        <v>5949</v>
      </c>
      <c r="T829" s="23" t="s">
        <v>4931</v>
      </c>
      <c r="U829" s="3">
        <v>34</v>
      </c>
      <c r="W829" s="45" t="str">
        <f>HYPERLINK("http://ictvonline.org/taxonomy/p/taxonomy-history?taxnode_id=201852026","ICTVonline=201852026")</f>
        <v>ICTVonline=201852026</v>
      </c>
      <c r="AA829" s="1">
        <v>201850000</v>
      </c>
      <c r="AB829" s="1">
        <v>34</v>
      </c>
    </row>
    <row r="830" spans="1:28" x14ac:dyDescent="0.15">
      <c r="A830" s="1">
        <v>2328</v>
      </c>
      <c r="B830" s="1" t="s">
        <v>7159</v>
      </c>
      <c r="J830" s="1" t="s">
        <v>1074</v>
      </c>
      <c r="L830" s="1" t="s">
        <v>1119</v>
      </c>
      <c r="N830" s="1" t="s">
        <v>6901</v>
      </c>
      <c r="P830" s="1" t="s">
        <v>6902</v>
      </c>
      <c r="Q830" s="3">
        <v>1</v>
      </c>
      <c r="S830" s="23" t="s">
        <v>5949</v>
      </c>
      <c r="T830" s="23" t="s">
        <v>4929</v>
      </c>
      <c r="U830" s="3">
        <v>34</v>
      </c>
      <c r="V830" s="3" t="s">
        <v>6903</v>
      </c>
      <c r="W830" s="45" t="str">
        <f>HYPERLINK("http://ictvonline.org/taxonomy/p/taxonomy-history?taxnode_id=201856315","ICTVonline=201856315")</f>
        <v>ICTVonline=201856315</v>
      </c>
      <c r="AA830" s="1">
        <v>201850000</v>
      </c>
      <c r="AB830" s="1">
        <v>34</v>
      </c>
    </row>
    <row r="831" spans="1:28" x14ac:dyDescent="0.15">
      <c r="A831" s="1">
        <v>2332</v>
      </c>
      <c r="B831" s="1" t="s">
        <v>7159</v>
      </c>
      <c r="J831" s="1" t="s">
        <v>1074</v>
      </c>
      <c r="L831" s="1" t="s">
        <v>1119</v>
      </c>
      <c r="N831" s="1" t="s">
        <v>6904</v>
      </c>
      <c r="P831" s="1" t="s">
        <v>6905</v>
      </c>
      <c r="Q831" s="3">
        <v>1</v>
      </c>
      <c r="S831" s="23" t="s">
        <v>5949</v>
      </c>
      <c r="T831" s="23" t="s">
        <v>4929</v>
      </c>
      <c r="U831" s="3">
        <v>34</v>
      </c>
      <c r="V831" s="3" t="s">
        <v>6906</v>
      </c>
      <c r="W831" s="45" t="str">
        <f>HYPERLINK("http://ictvonline.org/taxonomy/p/taxonomy-history?taxnode_id=201856324","ICTVonline=201856324")</f>
        <v>ICTVonline=201856324</v>
      </c>
      <c r="AA831" s="1">
        <v>201850000</v>
      </c>
      <c r="AB831" s="1">
        <v>34</v>
      </c>
    </row>
    <row r="832" spans="1:28" x14ac:dyDescent="0.15">
      <c r="A832" s="1">
        <v>2334</v>
      </c>
      <c r="B832" s="1" t="s">
        <v>7159</v>
      </c>
      <c r="J832" s="1" t="s">
        <v>1074</v>
      </c>
      <c r="L832" s="1" t="s">
        <v>1119</v>
      </c>
      <c r="N832" s="1" t="s">
        <v>6904</v>
      </c>
      <c r="P832" s="1" t="s">
        <v>6907</v>
      </c>
      <c r="Q832" s="3">
        <v>0</v>
      </c>
      <c r="S832" s="23" t="s">
        <v>5949</v>
      </c>
      <c r="T832" s="23" t="s">
        <v>4929</v>
      </c>
      <c r="U832" s="3">
        <v>34</v>
      </c>
      <c r="V832" s="3" t="s">
        <v>6906</v>
      </c>
      <c r="W832" s="45" t="str">
        <f>HYPERLINK("http://ictvonline.org/taxonomy/p/taxonomy-history?taxnode_id=201856325","ICTVonline=201856325")</f>
        <v>ICTVonline=201856325</v>
      </c>
      <c r="AA832" s="1">
        <v>201850000</v>
      </c>
      <c r="AB832" s="1">
        <v>34</v>
      </c>
    </row>
    <row r="833" spans="1:28" x14ac:dyDescent="0.15">
      <c r="A833" s="1">
        <v>2338</v>
      </c>
      <c r="B833" s="1" t="s">
        <v>7159</v>
      </c>
      <c r="J833" s="1" t="s">
        <v>1074</v>
      </c>
      <c r="L833" s="1" t="s">
        <v>1119</v>
      </c>
      <c r="N833" s="1" t="s">
        <v>2191</v>
      </c>
      <c r="P833" s="1" t="s">
        <v>5168</v>
      </c>
      <c r="Q833" s="3">
        <v>1</v>
      </c>
      <c r="S833" s="23" t="s">
        <v>5949</v>
      </c>
      <c r="T833" s="23" t="s">
        <v>4931</v>
      </c>
      <c r="U833" s="3">
        <v>34</v>
      </c>
      <c r="W833" s="45" t="str">
        <f>HYPERLINK("http://ictvonline.org/taxonomy/p/taxonomy-history?taxnode_id=201852028","ICTVonline=201852028")</f>
        <v>ICTVonline=201852028</v>
      </c>
      <c r="AA833" s="1">
        <v>201850000</v>
      </c>
      <c r="AB833" s="1">
        <v>34</v>
      </c>
    </row>
    <row r="834" spans="1:28" x14ac:dyDescent="0.15">
      <c r="A834" s="1">
        <v>2340</v>
      </c>
      <c r="B834" s="1" t="s">
        <v>7159</v>
      </c>
      <c r="J834" s="1" t="s">
        <v>1074</v>
      </c>
      <c r="L834" s="1" t="s">
        <v>1119</v>
      </c>
      <c r="N834" s="1" t="s">
        <v>2191</v>
      </c>
      <c r="P834" s="1" t="s">
        <v>5169</v>
      </c>
      <c r="Q834" s="3">
        <v>0</v>
      </c>
      <c r="S834" s="23" t="s">
        <v>5949</v>
      </c>
      <c r="T834" s="23" t="s">
        <v>4931</v>
      </c>
      <c r="U834" s="3">
        <v>34</v>
      </c>
      <c r="W834" s="45" t="str">
        <f>HYPERLINK("http://ictvonline.org/taxonomy/p/taxonomy-history?taxnode_id=201855600","ICTVonline=201855600")</f>
        <v>ICTVonline=201855600</v>
      </c>
      <c r="AA834" s="1">
        <v>201850000</v>
      </c>
      <c r="AB834" s="1">
        <v>34</v>
      </c>
    </row>
    <row r="835" spans="1:28" x14ac:dyDescent="0.15">
      <c r="A835" s="1">
        <v>2342</v>
      </c>
      <c r="B835" s="1" t="s">
        <v>7159</v>
      </c>
      <c r="J835" s="1" t="s">
        <v>1074</v>
      </c>
      <c r="L835" s="1" t="s">
        <v>1119</v>
      </c>
      <c r="N835" s="1" t="s">
        <v>2191</v>
      </c>
      <c r="P835" s="1" t="s">
        <v>5170</v>
      </c>
      <c r="Q835" s="3">
        <v>0</v>
      </c>
      <c r="S835" s="23" t="s">
        <v>5949</v>
      </c>
      <c r="T835" s="23" t="s">
        <v>4931</v>
      </c>
      <c r="U835" s="3">
        <v>34</v>
      </c>
      <c r="W835" s="45" t="str">
        <f>HYPERLINK("http://ictvonline.org/taxonomy/p/taxonomy-history?taxnode_id=201855601","ICTVonline=201855601")</f>
        <v>ICTVonline=201855601</v>
      </c>
      <c r="AA835" s="1">
        <v>201850000</v>
      </c>
      <c r="AB835" s="1">
        <v>34</v>
      </c>
    </row>
    <row r="836" spans="1:28" x14ac:dyDescent="0.15">
      <c r="A836" s="1">
        <v>2344</v>
      </c>
      <c r="B836" s="1" t="s">
        <v>7159</v>
      </c>
      <c r="J836" s="1" t="s">
        <v>1074</v>
      </c>
      <c r="L836" s="1" t="s">
        <v>1119</v>
      </c>
      <c r="N836" s="1" t="s">
        <v>2191</v>
      </c>
      <c r="P836" s="1" t="s">
        <v>5171</v>
      </c>
      <c r="Q836" s="3">
        <v>0</v>
      </c>
      <c r="S836" s="23" t="s">
        <v>5949</v>
      </c>
      <c r="T836" s="23" t="s">
        <v>4931</v>
      </c>
      <c r="U836" s="3">
        <v>34</v>
      </c>
      <c r="W836" s="45" t="str">
        <f>HYPERLINK("http://ictvonline.org/taxonomy/p/taxonomy-history?taxnode_id=201855602","ICTVonline=201855602")</f>
        <v>ICTVonline=201855602</v>
      </c>
      <c r="AA836" s="1">
        <v>201850000</v>
      </c>
      <c r="AB836" s="1">
        <v>34</v>
      </c>
    </row>
    <row r="837" spans="1:28" x14ac:dyDescent="0.15">
      <c r="A837" s="1">
        <v>2346</v>
      </c>
      <c r="B837" s="1" t="s">
        <v>7159</v>
      </c>
      <c r="J837" s="1" t="s">
        <v>1074</v>
      </c>
      <c r="L837" s="1" t="s">
        <v>1119</v>
      </c>
      <c r="N837" s="1" t="s">
        <v>2191</v>
      </c>
      <c r="P837" s="1" t="s">
        <v>5172</v>
      </c>
      <c r="Q837" s="3">
        <v>0</v>
      </c>
      <c r="S837" s="23" t="s">
        <v>5949</v>
      </c>
      <c r="T837" s="23" t="s">
        <v>4931</v>
      </c>
      <c r="U837" s="3">
        <v>34</v>
      </c>
      <c r="W837" s="45" t="str">
        <f>HYPERLINK("http://ictvonline.org/taxonomy/p/taxonomy-history?taxnode_id=201855603","ICTVonline=201855603")</f>
        <v>ICTVonline=201855603</v>
      </c>
      <c r="AA837" s="1">
        <v>201850000</v>
      </c>
      <c r="AB837" s="1">
        <v>34</v>
      </c>
    </row>
    <row r="838" spans="1:28" x14ac:dyDescent="0.15">
      <c r="A838" s="1">
        <v>2350</v>
      </c>
      <c r="B838" s="1" t="s">
        <v>7159</v>
      </c>
      <c r="J838" s="1" t="s">
        <v>1074</v>
      </c>
      <c r="L838" s="1" t="s">
        <v>1119</v>
      </c>
      <c r="N838" s="1" t="s">
        <v>2309</v>
      </c>
      <c r="P838" s="1" t="s">
        <v>2310</v>
      </c>
      <c r="Q838" s="3">
        <v>1</v>
      </c>
      <c r="S838" s="23" t="s">
        <v>5949</v>
      </c>
      <c r="T838" s="23" t="s">
        <v>4931</v>
      </c>
      <c r="U838" s="3">
        <v>34</v>
      </c>
      <c r="W838" s="45" t="str">
        <f>HYPERLINK("http://ictvonline.org/taxonomy/p/taxonomy-history?taxnode_id=201852030","ICTVonline=201852030")</f>
        <v>ICTVonline=201852030</v>
      </c>
      <c r="AA838" s="1">
        <v>201850000</v>
      </c>
      <c r="AB838" s="1">
        <v>34</v>
      </c>
    </row>
    <row r="839" spans="1:28" x14ac:dyDescent="0.15">
      <c r="A839" s="1">
        <v>2352</v>
      </c>
      <c r="B839" s="1" t="s">
        <v>7159</v>
      </c>
      <c r="J839" s="1" t="s">
        <v>1074</v>
      </c>
      <c r="L839" s="1" t="s">
        <v>1119</v>
      </c>
      <c r="N839" s="1" t="s">
        <v>2309</v>
      </c>
      <c r="P839" s="1" t="s">
        <v>4603</v>
      </c>
      <c r="Q839" s="3">
        <v>0</v>
      </c>
      <c r="S839" s="23" t="s">
        <v>5949</v>
      </c>
      <c r="T839" s="23" t="s">
        <v>4931</v>
      </c>
      <c r="U839" s="3">
        <v>34</v>
      </c>
      <c r="W839" s="45" t="str">
        <f>HYPERLINK("http://ictvonline.org/taxonomy/p/taxonomy-history?taxnode_id=201852031","ICTVonline=201852031")</f>
        <v>ICTVonline=201852031</v>
      </c>
      <c r="AA839" s="1">
        <v>201850000</v>
      </c>
      <c r="AB839" s="1">
        <v>34</v>
      </c>
    </row>
    <row r="840" spans="1:28" x14ac:dyDescent="0.15">
      <c r="A840" s="1">
        <v>2354</v>
      </c>
      <c r="B840" s="1" t="s">
        <v>7159</v>
      </c>
      <c r="J840" s="1" t="s">
        <v>1074</v>
      </c>
      <c r="L840" s="1" t="s">
        <v>1119</v>
      </c>
      <c r="N840" s="1" t="s">
        <v>2309</v>
      </c>
      <c r="P840" s="1" t="s">
        <v>4604</v>
      </c>
      <c r="Q840" s="3">
        <v>0</v>
      </c>
      <c r="S840" s="23" t="s">
        <v>5949</v>
      </c>
      <c r="T840" s="23" t="s">
        <v>4931</v>
      </c>
      <c r="U840" s="3">
        <v>34</v>
      </c>
      <c r="W840" s="45" t="str">
        <f>HYPERLINK("http://ictvonline.org/taxonomy/p/taxonomy-history?taxnode_id=201852032","ICTVonline=201852032")</f>
        <v>ICTVonline=201852032</v>
      </c>
      <c r="AA840" s="1">
        <v>201850000</v>
      </c>
      <c r="AB840" s="1">
        <v>34</v>
      </c>
    </row>
    <row r="841" spans="1:28" x14ac:dyDescent="0.15">
      <c r="A841" s="1">
        <v>2356</v>
      </c>
      <c r="B841" s="1" t="s">
        <v>7159</v>
      </c>
      <c r="J841" s="1" t="s">
        <v>1074</v>
      </c>
      <c r="L841" s="1" t="s">
        <v>1119</v>
      </c>
      <c r="N841" s="1" t="s">
        <v>2309</v>
      </c>
      <c r="P841" s="1" t="s">
        <v>6908</v>
      </c>
      <c r="Q841" s="3">
        <v>0</v>
      </c>
      <c r="S841" s="23" t="s">
        <v>5949</v>
      </c>
      <c r="T841" s="23" t="s">
        <v>4929</v>
      </c>
      <c r="U841" s="3">
        <v>34</v>
      </c>
      <c r="V841" s="3" t="s">
        <v>6909</v>
      </c>
      <c r="W841" s="45" t="str">
        <f>HYPERLINK("http://ictvonline.org/taxonomy/p/taxonomy-history?taxnode_id=201856330","ICTVonline=201856330")</f>
        <v>ICTVonline=201856330</v>
      </c>
      <c r="AA841" s="1">
        <v>201850000</v>
      </c>
      <c r="AB841" s="1">
        <v>34</v>
      </c>
    </row>
    <row r="842" spans="1:28" x14ac:dyDescent="0.15">
      <c r="A842" s="1">
        <v>2360</v>
      </c>
      <c r="B842" s="1" t="s">
        <v>7159</v>
      </c>
      <c r="J842" s="1" t="s">
        <v>1074</v>
      </c>
      <c r="L842" s="1" t="s">
        <v>1119</v>
      </c>
      <c r="N842" s="1" t="s">
        <v>2311</v>
      </c>
      <c r="P842" s="1" t="s">
        <v>2312</v>
      </c>
      <c r="Q842" s="3">
        <v>1</v>
      </c>
      <c r="S842" s="23" t="s">
        <v>5949</v>
      </c>
      <c r="T842" s="23" t="s">
        <v>4931</v>
      </c>
      <c r="U842" s="3">
        <v>34</v>
      </c>
      <c r="W842" s="45" t="str">
        <f>HYPERLINK("http://ictvonline.org/taxonomy/p/taxonomy-history?taxnode_id=201852034","ICTVonline=201852034")</f>
        <v>ICTVonline=201852034</v>
      </c>
      <c r="AA842" s="1">
        <v>201850000</v>
      </c>
      <c r="AB842" s="1">
        <v>34</v>
      </c>
    </row>
    <row r="843" spans="1:28" x14ac:dyDescent="0.15">
      <c r="A843" s="1">
        <v>2364</v>
      </c>
      <c r="B843" s="1" t="s">
        <v>7159</v>
      </c>
      <c r="J843" s="1" t="s">
        <v>1074</v>
      </c>
      <c r="L843" s="1" t="s">
        <v>1119</v>
      </c>
      <c r="N843" s="1" t="s">
        <v>5173</v>
      </c>
      <c r="P843" s="1" t="s">
        <v>5174</v>
      </c>
      <c r="Q843" s="3">
        <v>1</v>
      </c>
      <c r="S843" s="23" t="s">
        <v>5949</v>
      </c>
      <c r="T843" s="23" t="s">
        <v>4931</v>
      </c>
      <c r="U843" s="3">
        <v>34</v>
      </c>
      <c r="W843" s="45" t="str">
        <f>HYPERLINK("http://ictvonline.org/taxonomy/p/taxonomy-history?taxnode_id=201855604","ICTVonline=201855604")</f>
        <v>ICTVonline=201855604</v>
      </c>
      <c r="AA843" s="1">
        <v>201850000</v>
      </c>
      <c r="AB843" s="1">
        <v>34</v>
      </c>
    </row>
    <row r="844" spans="1:28" x14ac:dyDescent="0.15">
      <c r="A844" s="1">
        <v>2368</v>
      </c>
      <c r="B844" s="1" t="s">
        <v>7159</v>
      </c>
      <c r="J844" s="1" t="s">
        <v>1074</v>
      </c>
      <c r="L844" s="1" t="s">
        <v>1119</v>
      </c>
      <c r="N844" s="1" t="s">
        <v>2313</v>
      </c>
      <c r="P844" s="1" t="s">
        <v>2314</v>
      </c>
      <c r="Q844" s="3">
        <v>1</v>
      </c>
      <c r="S844" s="23" t="s">
        <v>5949</v>
      </c>
      <c r="T844" s="23" t="s">
        <v>4931</v>
      </c>
      <c r="U844" s="3">
        <v>34</v>
      </c>
      <c r="W844" s="45" t="str">
        <f>HYPERLINK("http://ictvonline.org/taxonomy/p/taxonomy-history?taxnode_id=201852036","ICTVonline=201852036")</f>
        <v>ICTVonline=201852036</v>
      </c>
      <c r="AA844" s="1">
        <v>201850000</v>
      </c>
      <c r="AB844" s="1">
        <v>34</v>
      </c>
    </row>
    <row r="845" spans="1:28" x14ac:dyDescent="0.15">
      <c r="A845" s="1">
        <v>2372</v>
      </c>
      <c r="B845" s="1" t="s">
        <v>7159</v>
      </c>
      <c r="J845" s="1" t="s">
        <v>1074</v>
      </c>
      <c r="L845" s="1" t="s">
        <v>1119</v>
      </c>
      <c r="N845" s="1" t="s">
        <v>969</v>
      </c>
      <c r="P845" s="1" t="s">
        <v>2636</v>
      </c>
      <c r="Q845" s="3">
        <v>1</v>
      </c>
      <c r="S845" s="23" t="s">
        <v>5949</v>
      </c>
      <c r="T845" s="23" t="s">
        <v>4931</v>
      </c>
      <c r="U845" s="3">
        <v>34</v>
      </c>
      <c r="W845" s="45" t="str">
        <f>HYPERLINK("http://ictvonline.org/taxonomy/p/taxonomy-history?taxnode_id=201852038","ICTVonline=201852038")</f>
        <v>ICTVonline=201852038</v>
      </c>
      <c r="AA845" s="1">
        <v>201850000</v>
      </c>
      <c r="AB845" s="1">
        <v>34</v>
      </c>
    </row>
    <row r="846" spans="1:28" x14ac:dyDescent="0.15">
      <c r="A846" s="1">
        <v>2374</v>
      </c>
      <c r="B846" s="1" t="s">
        <v>7159</v>
      </c>
      <c r="J846" s="1" t="s">
        <v>1074</v>
      </c>
      <c r="L846" s="1" t="s">
        <v>1119</v>
      </c>
      <c r="N846" s="1" t="s">
        <v>969</v>
      </c>
      <c r="P846" s="1" t="s">
        <v>2637</v>
      </c>
      <c r="Q846" s="3">
        <v>0</v>
      </c>
      <c r="S846" s="23" t="s">
        <v>5949</v>
      </c>
      <c r="T846" s="23" t="s">
        <v>4931</v>
      </c>
      <c r="U846" s="3">
        <v>34</v>
      </c>
      <c r="W846" s="45" t="str">
        <f>HYPERLINK("http://ictvonline.org/taxonomy/p/taxonomy-history?taxnode_id=201852039","ICTVonline=201852039")</f>
        <v>ICTVonline=201852039</v>
      </c>
      <c r="AA846" s="1">
        <v>201850000</v>
      </c>
      <c r="AB846" s="1">
        <v>34</v>
      </c>
    </row>
    <row r="847" spans="1:28" x14ac:dyDescent="0.15">
      <c r="A847" s="1">
        <v>2376</v>
      </c>
      <c r="B847" s="1" t="s">
        <v>7159</v>
      </c>
      <c r="J847" s="1" t="s">
        <v>1074</v>
      </c>
      <c r="L847" s="1" t="s">
        <v>1119</v>
      </c>
      <c r="N847" s="1" t="s">
        <v>969</v>
      </c>
      <c r="P847" s="1" t="s">
        <v>4605</v>
      </c>
      <c r="Q847" s="3">
        <v>0</v>
      </c>
      <c r="S847" s="23" t="s">
        <v>5949</v>
      </c>
      <c r="T847" s="23" t="s">
        <v>4931</v>
      </c>
      <c r="U847" s="3">
        <v>34</v>
      </c>
      <c r="W847" s="45" t="str">
        <f>HYPERLINK("http://ictvonline.org/taxonomy/p/taxonomy-history?taxnode_id=201852040","ICTVonline=201852040")</f>
        <v>ICTVonline=201852040</v>
      </c>
      <c r="AA847" s="1">
        <v>201850000</v>
      </c>
      <c r="AB847" s="1">
        <v>34</v>
      </c>
    </row>
    <row r="848" spans="1:28" x14ac:dyDescent="0.15">
      <c r="A848" s="1">
        <v>2378</v>
      </c>
      <c r="B848" s="1" t="s">
        <v>7159</v>
      </c>
      <c r="J848" s="1" t="s">
        <v>1074</v>
      </c>
      <c r="L848" s="1" t="s">
        <v>1119</v>
      </c>
      <c r="N848" s="1" t="s">
        <v>969</v>
      </c>
      <c r="P848" s="1" t="s">
        <v>4606</v>
      </c>
      <c r="Q848" s="3">
        <v>0</v>
      </c>
      <c r="S848" s="23" t="s">
        <v>5949</v>
      </c>
      <c r="T848" s="23" t="s">
        <v>4931</v>
      </c>
      <c r="U848" s="3">
        <v>34</v>
      </c>
      <c r="W848" s="45" t="str">
        <f>HYPERLINK("http://ictvonline.org/taxonomy/p/taxonomy-history?taxnode_id=201852041","ICTVonline=201852041")</f>
        <v>ICTVonline=201852041</v>
      </c>
      <c r="AA848" s="1">
        <v>201850000</v>
      </c>
      <c r="AB848" s="1">
        <v>34</v>
      </c>
    </row>
    <row r="849" spans="1:28" x14ac:dyDescent="0.15">
      <c r="A849" s="1">
        <v>2382</v>
      </c>
      <c r="B849" s="1" t="s">
        <v>7159</v>
      </c>
      <c r="J849" s="1" t="s">
        <v>1074</v>
      </c>
      <c r="L849" s="1" t="s">
        <v>1119</v>
      </c>
      <c r="N849" s="1" t="s">
        <v>2315</v>
      </c>
      <c r="P849" s="1" t="s">
        <v>2316</v>
      </c>
      <c r="Q849" s="3">
        <v>1</v>
      </c>
      <c r="S849" s="23" t="s">
        <v>5949</v>
      </c>
      <c r="T849" s="23" t="s">
        <v>4931</v>
      </c>
      <c r="U849" s="3">
        <v>34</v>
      </c>
      <c r="W849" s="45" t="str">
        <f>HYPERLINK("http://ictvonline.org/taxonomy/p/taxonomy-history?taxnode_id=201852043","ICTVonline=201852043")</f>
        <v>ICTVonline=201852043</v>
      </c>
      <c r="AA849" s="1">
        <v>201850000</v>
      </c>
      <c r="AB849" s="1">
        <v>34</v>
      </c>
    </row>
    <row r="850" spans="1:28" x14ac:dyDescent="0.15">
      <c r="A850" s="1">
        <v>2386</v>
      </c>
      <c r="B850" s="1" t="s">
        <v>7159</v>
      </c>
      <c r="J850" s="1" t="s">
        <v>1074</v>
      </c>
      <c r="L850" s="1" t="s">
        <v>1119</v>
      </c>
      <c r="N850" s="1" t="s">
        <v>2317</v>
      </c>
      <c r="P850" s="1" t="s">
        <v>2318</v>
      </c>
      <c r="Q850" s="3">
        <v>1</v>
      </c>
      <c r="S850" s="23" t="s">
        <v>5949</v>
      </c>
      <c r="T850" s="23" t="s">
        <v>4931</v>
      </c>
      <c r="U850" s="3">
        <v>34</v>
      </c>
      <c r="W850" s="45" t="str">
        <f>HYPERLINK("http://ictvonline.org/taxonomy/p/taxonomy-history?taxnode_id=201852045","ICTVonline=201852045")</f>
        <v>ICTVonline=201852045</v>
      </c>
      <c r="AA850" s="1">
        <v>201850000</v>
      </c>
      <c r="AB850" s="1">
        <v>34</v>
      </c>
    </row>
    <row r="851" spans="1:28" x14ac:dyDescent="0.15">
      <c r="A851" s="1">
        <v>2388</v>
      </c>
      <c r="B851" s="1" t="s">
        <v>7159</v>
      </c>
      <c r="J851" s="1" t="s">
        <v>1074</v>
      </c>
      <c r="L851" s="1" t="s">
        <v>1119</v>
      </c>
      <c r="N851" s="1" t="s">
        <v>2317</v>
      </c>
      <c r="P851" s="1" t="s">
        <v>6910</v>
      </c>
      <c r="Q851" s="3">
        <v>0</v>
      </c>
      <c r="S851" s="23" t="s">
        <v>5949</v>
      </c>
      <c r="T851" s="23" t="s">
        <v>4929</v>
      </c>
      <c r="U851" s="3">
        <v>34</v>
      </c>
      <c r="V851" s="3" t="s">
        <v>6911</v>
      </c>
      <c r="W851" s="45" t="str">
        <f>HYPERLINK("http://ictvonline.org/taxonomy/p/taxonomy-history?taxnode_id=201856340","ICTVonline=201856340")</f>
        <v>ICTVonline=201856340</v>
      </c>
      <c r="AA851" s="1">
        <v>201850000</v>
      </c>
      <c r="AB851" s="1">
        <v>34</v>
      </c>
    </row>
    <row r="852" spans="1:28" x14ac:dyDescent="0.15">
      <c r="A852" s="1">
        <v>2392</v>
      </c>
      <c r="B852" s="1" t="s">
        <v>7159</v>
      </c>
      <c r="J852" s="1" t="s">
        <v>1074</v>
      </c>
      <c r="L852" s="1" t="s">
        <v>1119</v>
      </c>
      <c r="N852" s="1" t="s">
        <v>6912</v>
      </c>
      <c r="P852" s="1" t="s">
        <v>6913</v>
      </c>
      <c r="Q852" s="3">
        <v>1</v>
      </c>
      <c r="S852" s="23" t="s">
        <v>5949</v>
      </c>
      <c r="T852" s="23" t="s">
        <v>4929</v>
      </c>
      <c r="U852" s="3">
        <v>34</v>
      </c>
      <c r="V852" s="3" t="s">
        <v>6914</v>
      </c>
      <c r="W852" s="45" t="str">
        <f>HYPERLINK("http://ictvonline.org/taxonomy/p/taxonomy-history?taxnode_id=201856392","ICTVonline=201856392")</f>
        <v>ICTVonline=201856392</v>
      </c>
      <c r="AA852" s="1">
        <v>201850000</v>
      </c>
      <c r="AB852" s="1">
        <v>34</v>
      </c>
    </row>
    <row r="853" spans="1:28" x14ac:dyDescent="0.15">
      <c r="A853" s="1">
        <v>2396</v>
      </c>
      <c r="B853" s="1" t="s">
        <v>7159</v>
      </c>
      <c r="J853" s="1" t="s">
        <v>1074</v>
      </c>
      <c r="L853" s="1" t="s">
        <v>1119</v>
      </c>
      <c r="N853" s="1" t="s">
        <v>3650</v>
      </c>
      <c r="P853" s="1" t="s">
        <v>3651</v>
      </c>
      <c r="Q853" s="3">
        <v>1</v>
      </c>
      <c r="S853" s="23" t="s">
        <v>5949</v>
      </c>
      <c r="T853" s="23" t="s">
        <v>4931</v>
      </c>
      <c r="U853" s="3">
        <v>34</v>
      </c>
      <c r="W853" s="45" t="str">
        <f>HYPERLINK("http://ictvonline.org/taxonomy/p/taxonomy-history?taxnode_id=201852047","ICTVonline=201852047")</f>
        <v>ICTVonline=201852047</v>
      </c>
      <c r="AA853" s="1">
        <v>201850000</v>
      </c>
      <c r="AB853" s="1">
        <v>34</v>
      </c>
    </row>
    <row r="854" spans="1:28" x14ac:dyDescent="0.15">
      <c r="A854" s="1">
        <v>2400</v>
      </c>
      <c r="B854" s="1" t="s">
        <v>7159</v>
      </c>
      <c r="J854" s="1" t="s">
        <v>1074</v>
      </c>
      <c r="L854" s="1" t="s">
        <v>1119</v>
      </c>
      <c r="N854" s="1" t="s">
        <v>4607</v>
      </c>
      <c r="P854" s="1" t="s">
        <v>4608</v>
      </c>
      <c r="Q854" s="3">
        <v>1</v>
      </c>
      <c r="S854" s="23" t="s">
        <v>5949</v>
      </c>
      <c r="T854" s="23" t="s">
        <v>4931</v>
      </c>
      <c r="U854" s="3">
        <v>34</v>
      </c>
      <c r="W854" s="45" t="str">
        <f>HYPERLINK("http://ictvonline.org/taxonomy/p/taxonomy-history?taxnode_id=201852049","ICTVonline=201852049")</f>
        <v>ICTVonline=201852049</v>
      </c>
      <c r="AA854" s="1">
        <v>201850000</v>
      </c>
      <c r="AB854" s="1">
        <v>34</v>
      </c>
    </row>
    <row r="855" spans="1:28" x14ac:dyDescent="0.15">
      <c r="A855" s="1">
        <v>2402</v>
      </c>
      <c r="B855" s="1" t="s">
        <v>7159</v>
      </c>
      <c r="J855" s="1" t="s">
        <v>1074</v>
      </c>
      <c r="L855" s="1" t="s">
        <v>1119</v>
      </c>
      <c r="N855" s="1" t="s">
        <v>4607</v>
      </c>
      <c r="P855" s="1" t="s">
        <v>6915</v>
      </c>
      <c r="Q855" s="3">
        <v>0</v>
      </c>
      <c r="S855" s="23" t="s">
        <v>5949</v>
      </c>
      <c r="T855" s="23" t="s">
        <v>4929</v>
      </c>
      <c r="U855" s="3">
        <v>34</v>
      </c>
      <c r="V855" s="3" t="s">
        <v>6916</v>
      </c>
      <c r="W855" s="45" t="str">
        <f>HYPERLINK("http://ictvonline.org/taxonomy/p/taxonomy-history?taxnode_id=201856420","ICTVonline=201856420")</f>
        <v>ICTVonline=201856420</v>
      </c>
      <c r="AA855" s="1">
        <v>201850000</v>
      </c>
      <c r="AB855" s="1">
        <v>34</v>
      </c>
    </row>
    <row r="856" spans="1:28" x14ac:dyDescent="0.15">
      <c r="A856" s="1">
        <v>2404</v>
      </c>
      <c r="B856" s="1" t="s">
        <v>7159</v>
      </c>
      <c r="J856" s="1" t="s">
        <v>1074</v>
      </c>
      <c r="L856" s="1" t="s">
        <v>1119</v>
      </c>
      <c r="N856" s="1" t="s">
        <v>4607</v>
      </c>
      <c r="P856" s="1" t="s">
        <v>6917</v>
      </c>
      <c r="Q856" s="3">
        <v>0</v>
      </c>
      <c r="S856" s="23" t="s">
        <v>5949</v>
      </c>
      <c r="T856" s="23" t="s">
        <v>4929</v>
      </c>
      <c r="U856" s="3">
        <v>34</v>
      </c>
      <c r="V856" s="3" t="s">
        <v>6916</v>
      </c>
      <c r="W856" s="45" t="str">
        <f>HYPERLINK("http://ictvonline.org/taxonomy/p/taxonomy-history?taxnode_id=201856421","ICTVonline=201856421")</f>
        <v>ICTVonline=201856421</v>
      </c>
      <c r="AA856" s="1">
        <v>201850000</v>
      </c>
      <c r="AB856" s="1">
        <v>34</v>
      </c>
    </row>
    <row r="857" spans="1:28" x14ac:dyDescent="0.15">
      <c r="A857" s="1">
        <v>2406</v>
      </c>
      <c r="B857" s="1" t="s">
        <v>7159</v>
      </c>
      <c r="J857" s="1" t="s">
        <v>1074</v>
      </c>
      <c r="L857" s="1" t="s">
        <v>1119</v>
      </c>
      <c r="N857" s="1" t="s">
        <v>4607</v>
      </c>
      <c r="P857" s="1" t="s">
        <v>6918</v>
      </c>
      <c r="Q857" s="3">
        <v>0</v>
      </c>
      <c r="S857" s="23" t="s">
        <v>5949</v>
      </c>
      <c r="T857" s="23" t="s">
        <v>4929</v>
      </c>
      <c r="U857" s="3">
        <v>34</v>
      </c>
      <c r="V857" s="3" t="s">
        <v>6916</v>
      </c>
      <c r="W857" s="45" t="str">
        <f>HYPERLINK("http://ictvonline.org/taxonomy/p/taxonomy-history?taxnode_id=201856422","ICTVonline=201856422")</f>
        <v>ICTVonline=201856422</v>
      </c>
      <c r="AA857" s="1">
        <v>201850000</v>
      </c>
      <c r="AB857" s="1">
        <v>34</v>
      </c>
    </row>
    <row r="858" spans="1:28" x14ac:dyDescent="0.15">
      <c r="A858" s="1">
        <v>2410</v>
      </c>
      <c r="B858" s="1" t="s">
        <v>7159</v>
      </c>
      <c r="J858" s="1" t="s">
        <v>1074</v>
      </c>
      <c r="L858" s="1" t="s">
        <v>1119</v>
      </c>
      <c r="N858" s="1" t="s">
        <v>6919</v>
      </c>
      <c r="P858" s="1" t="s">
        <v>6920</v>
      </c>
      <c r="Q858" s="3">
        <v>1</v>
      </c>
      <c r="S858" s="23" t="s">
        <v>5949</v>
      </c>
      <c r="T858" s="23" t="s">
        <v>4929</v>
      </c>
      <c r="U858" s="3">
        <v>34</v>
      </c>
      <c r="V858" s="3" t="s">
        <v>6921</v>
      </c>
      <c r="W858" s="45" t="str">
        <f>HYPERLINK("http://ictvonline.org/taxonomy/p/taxonomy-history?taxnode_id=201856441","ICTVonline=201856441")</f>
        <v>ICTVonline=201856441</v>
      </c>
      <c r="AA858" s="1">
        <v>201850000</v>
      </c>
      <c r="AB858" s="1">
        <v>34</v>
      </c>
    </row>
    <row r="859" spans="1:28" x14ac:dyDescent="0.15">
      <c r="A859" s="1">
        <v>2412</v>
      </c>
      <c r="B859" s="1" t="s">
        <v>7159</v>
      </c>
      <c r="J859" s="1" t="s">
        <v>1074</v>
      </c>
      <c r="L859" s="1" t="s">
        <v>1119</v>
      </c>
      <c r="N859" s="1" t="s">
        <v>6919</v>
      </c>
      <c r="P859" s="1" t="s">
        <v>6922</v>
      </c>
      <c r="Q859" s="3">
        <v>0</v>
      </c>
      <c r="S859" s="23" t="s">
        <v>5949</v>
      </c>
      <c r="T859" s="23" t="s">
        <v>4929</v>
      </c>
      <c r="U859" s="3">
        <v>34</v>
      </c>
      <c r="V859" s="3" t="s">
        <v>6921</v>
      </c>
      <c r="W859" s="45" t="str">
        <f>HYPERLINK("http://ictvonline.org/taxonomy/p/taxonomy-history?taxnode_id=201856442","ICTVonline=201856442")</f>
        <v>ICTVonline=201856442</v>
      </c>
      <c r="AA859" s="1">
        <v>201850000</v>
      </c>
      <c r="AB859" s="1">
        <v>34</v>
      </c>
    </row>
    <row r="860" spans="1:28" x14ac:dyDescent="0.15">
      <c r="A860" s="1">
        <v>2416</v>
      </c>
      <c r="B860" s="1" t="s">
        <v>7159</v>
      </c>
      <c r="J860" s="1" t="s">
        <v>1074</v>
      </c>
      <c r="L860" s="1" t="s">
        <v>1119</v>
      </c>
      <c r="N860" s="1" t="s">
        <v>2319</v>
      </c>
      <c r="P860" s="1" t="s">
        <v>2320</v>
      </c>
      <c r="Q860" s="3">
        <v>1</v>
      </c>
      <c r="S860" s="23" t="s">
        <v>5949</v>
      </c>
      <c r="T860" s="23" t="s">
        <v>4931</v>
      </c>
      <c r="U860" s="3">
        <v>34</v>
      </c>
      <c r="W860" s="45" t="str">
        <f>HYPERLINK("http://ictvonline.org/taxonomy/p/taxonomy-history?taxnode_id=201852051","ICTVonline=201852051")</f>
        <v>ICTVonline=201852051</v>
      </c>
      <c r="AA860" s="1">
        <v>201850000</v>
      </c>
      <c r="AB860" s="1">
        <v>34</v>
      </c>
    </row>
    <row r="861" spans="1:28" x14ac:dyDescent="0.15">
      <c r="A861" s="1">
        <v>2418</v>
      </c>
      <c r="B861" s="1" t="s">
        <v>7159</v>
      </c>
      <c r="J861" s="1" t="s">
        <v>1074</v>
      </c>
      <c r="L861" s="1" t="s">
        <v>1119</v>
      </c>
      <c r="N861" s="1" t="s">
        <v>2319</v>
      </c>
      <c r="P861" s="1" t="s">
        <v>6923</v>
      </c>
      <c r="Q861" s="3">
        <v>0</v>
      </c>
      <c r="S861" s="23" t="s">
        <v>5949</v>
      </c>
      <c r="T861" s="23" t="s">
        <v>4929</v>
      </c>
      <c r="U861" s="3">
        <v>34</v>
      </c>
      <c r="V861" s="3" t="s">
        <v>6924</v>
      </c>
      <c r="W861" s="45" t="str">
        <f>HYPERLINK("http://ictvonline.org/taxonomy/p/taxonomy-history?taxnode_id=201856477","ICTVonline=201856477")</f>
        <v>ICTVonline=201856477</v>
      </c>
      <c r="AA861" s="1">
        <v>201850000</v>
      </c>
      <c r="AB861" s="1">
        <v>34</v>
      </c>
    </row>
    <row r="862" spans="1:28" x14ac:dyDescent="0.15">
      <c r="A862" s="1">
        <v>2420</v>
      </c>
      <c r="B862" s="1" t="s">
        <v>7159</v>
      </c>
      <c r="J862" s="1" t="s">
        <v>1074</v>
      </c>
      <c r="L862" s="1" t="s">
        <v>1119</v>
      </c>
      <c r="N862" s="1" t="s">
        <v>2319</v>
      </c>
      <c r="P862" s="1" t="s">
        <v>6925</v>
      </c>
      <c r="Q862" s="3">
        <v>0</v>
      </c>
      <c r="S862" s="23" t="s">
        <v>5949</v>
      </c>
      <c r="T862" s="23" t="s">
        <v>4929</v>
      </c>
      <c r="U862" s="3">
        <v>34</v>
      </c>
      <c r="V862" s="3" t="s">
        <v>6924</v>
      </c>
      <c r="W862" s="45" t="str">
        <f>HYPERLINK("http://ictvonline.org/taxonomy/p/taxonomy-history?taxnode_id=201856478","ICTVonline=201856478")</f>
        <v>ICTVonline=201856478</v>
      </c>
      <c r="AA862" s="1">
        <v>201850000</v>
      </c>
      <c r="AB862" s="1">
        <v>34</v>
      </c>
    </row>
    <row r="863" spans="1:28" x14ac:dyDescent="0.15">
      <c r="A863" s="1">
        <v>2424</v>
      </c>
      <c r="B863" s="1" t="s">
        <v>7159</v>
      </c>
      <c r="J863" s="1" t="s">
        <v>1074</v>
      </c>
      <c r="L863" s="1" t="s">
        <v>1119</v>
      </c>
      <c r="N863" s="1" t="s">
        <v>2638</v>
      </c>
      <c r="P863" s="1" t="s">
        <v>2639</v>
      </c>
      <c r="Q863" s="3">
        <v>1</v>
      </c>
      <c r="S863" s="23" t="s">
        <v>5949</v>
      </c>
      <c r="T863" s="23" t="s">
        <v>4931</v>
      </c>
      <c r="U863" s="3">
        <v>34</v>
      </c>
      <c r="W863" s="45" t="str">
        <f>HYPERLINK("http://ictvonline.org/taxonomy/p/taxonomy-history?taxnode_id=201852053","ICTVonline=201852053")</f>
        <v>ICTVonline=201852053</v>
      </c>
      <c r="AA863" s="1">
        <v>201850000</v>
      </c>
      <c r="AB863" s="1">
        <v>34</v>
      </c>
    </row>
    <row r="864" spans="1:28" x14ac:dyDescent="0.15">
      <c r="A864" s="1">
        <v>2428</v>
      </c>
      <c r="B864" s="1" t="s">
        <v>7159</v>
      </c>
      <c r="J864" s="1" t="s">
        <v>1074</v>
      </c>
      <c r="L864" s="1" t="s">
        <v>1119</v>
      </c>
      <c r="N864" s="1" t="s">
        <v>2192</v>
      </c>
      <c r="P864" s="1" t="s">
        <v>2193</v>
      </c>
      <c r="Q864" s="3">
        <v>1</v>
      </c>
      <c r="S864" s="23" t="s">
        <v>5949</v>
      </c>
      <c r="T864" s="23" t="s">
        <v>4931</v>
      </c>
      <c r="U864" s="3">
        <v>34</v>
      </c>
      <c r="W864" s="45" t="str">
        <f>HYPERLINK("http://ictvonline.org/taxonomy/p/taxonomy-history?taxnode_id=201852055","ICTVonline=201852055")</f>
        <v>ICTVonline=201852055</v>
      </c>
      <c r="AA864" s="1">
        <v>201850000</v>
      </c>
      <c r="AB864" s="1">
        <v>34</v>
      </c>
    </row>
    <row r="865" spans="1:28" x14ac:dyDescent="0.15">
      <c r="A865" s="1">
        <v>2432</v>
      </c>
      <c r="B865" s="1" t="s">
        <v>7159</v>
      </c>
      <c r="J865" s="1" t="s">
        <v>1074</v>
      </c>
      <c r="L865" s="1" t="s">
        <v>1119</v>
      </c>
      <c r="N865" s="1" t="s">
        <v>1077</v>
      </c>
      <c r="P865" s="1" t="s">
        <v>2640</v>
      </c>
      <c r="Q865" s="3">
        <v>1</v>
      </c>
      <c r="S865" s="23" t="s">
        <v>5949</v>
      </c>
      <c r="T865" s="23" t="s">
        <v>4931</v>
      </c>
      <c r="U865" s="3">
        <v>34</v>
      </c>
      <c r="W865" s="45" t="str">
        <f>HYPERLINK("http://ictvonline.org/taxonomy/p/taxonomy-history?taxnode_id=201852058","ICTVonline=201852058")</f>
        <v>ICTVonline=201852058</v>
      </c>
      <c r="AA865" s="1">
        <v>201850000</v>
      </c>
      <c r="AB865" s="1">
        <v>34</v>
      </c>
    </row>
    <row r="866" spans="1:28" x14ac:dyDescent="0.15">
      <c r="A866" s="1">
        <v>2434</v>
      </c>
      <c r="B866" s="1" t="s">
        <v>7159</v>
      </c>
      <c r="J866" s="1" t="s">
        <v>1074</v>
      </c>
      <c r="L866" s="1" t="s">
        <v>1119</v>
      </c>
      <c r="N866" s="1" t="s">
        <v>1077</v>
      </c>
      <c r="P866" s="1" t="s">
        <v>2641</v>
      </c>
      <c r="Q866" s="3">
        <v>0</v>
      </c>
      <c r="S866" s="23" t="s">
        <v>5949</v>
      </c>
      <c r="T866" s="23" t="s">
        <v>4931</v>
      </c>
      <c r="U866" s="3">
        <v>34</v>
      </c>
      <c r="W866" s="45" t="str">
        <f>HYPERLINK("http://ictvonline.org/taxonomy/p/taxonomy-history?taxnode_id=201852059","ICTVonline=201852059")</f>
        <v>ICTVonline=201852059</v>
      </c>
      <c r="AA866" s="1">
        <v>201850000</v>
      </c>
      <c r="AB866" s="1">
        <v>34</v>
      </c>
    </row>
    <row r="867" spans="1:28" x14ac:dyDescent="0.15">
      <c r="A867" s="1">
        <v>2438</v>
      </c>
      <c r="B867" s="1" t="s">
        <v>7159</v>
      </c>
      <c r="J867" s="1" t="s">
        <v>1074</v>
      </c>
      <c r="L867" s="1" t="s">
        <v>1119</v>
      </c>
      <c r="N867" s="1" t="s">
        <v>1000</v>
      </c>
      <c r="P867" s="1" t="s">
        <v>2642</v>
      </c>
      <c r="Q867" s="3">
        <v>1</v>
      </c>
      <c r="S867" s="23" t="s">
        <v>5949</v>
      </c>
      <c r="T867" s="23" t="s">
        <v>4931</v>
      </c>
      <c r="U867" s="3">
        <v>34</v>
      </c>
      <c r="W867" s="45" t="str">
        <f>HYPERLINK("http://ictvonline.org/taxonomy/p/taxonomy-history?taxnode_id=201852061","ICTVonline=201852061")</f>
        <v>ICTVonline=201852061</v>
      </c>
      <c r="AA867" s="1">
        <v>201850000</v>
      </c>
      <c r="AB867" s="1">
        <v>34</v>
      </c>
    </row>
    <row r="868" spans="1:28" x14ac:dyDescent="0.15">
      <c r="A868" s="1">
        <v>2442</v>
      </c>
      <c r="B868" s="1" t="s">
        <v>7159</v>
      </c>
      <c r="J868" s="1" t="s">
        <v>1074</v>
      </c>
      <c r="L868" s="1" t="s">
        <v>1119</v>
      </c>
      <c r="N868" s="1" t="s">
        <v>5175</v>
      </c>
      <c r="P868" s="1" t="s">
        <v>5176</v>
      </c>
      <c r="Q868" s="3">
        <v>1</v>
      </c>
      <c r="S868" s="23" t="s">
        <v>5949</v>
      </c>
      <c r="T868" s="23" t="s">
        <v>4931</v>
      </c>
      <c r="U868" s="3">
        <v>34</v>
      </c>
      <c r="W868" s="45" t="str">
        <f>HYPERLINK("http://ictvonline.org/taxonomy/p/taxonomy-history?taxnode_id=201855606","ICTVonline=201855606")</f>
        <v>ICTVonline=201855606</v>
      </c>
      <c r="AA868" s="1">
        <v>201850000</v>
      </c>
      <c r="AB868" s="1">
        <v>34</v>
      </c>
    </row>
    <row r="869" spans="1:28" x14ac:dyDescent="0.15">
      <c r="A869" s="1">
        <v>2446</v>
      </c>
      <c r="B869" s="1" t="s">
        <v>7159</v>
      </c>
      <c r="J869" s="1" t="s">
        <v>1074</v>
      </c>
      <c r="L869" s="1" t="s">
        <v>1119</v>
      </c>
      <c r="N869" s="1" t="s">
        <v>2643</v>
      </c>
      <c r="P869" s="1" t="s">
        <v>2644</v>
      </c>
      <c r="Q869" s="3">
        <v>1</v>
      </c>
      <c r="S869" s="23" t="s">
        <v>5949</v>
      </c>
      <c r="T869" s="23" t="s">
        <v>4931</v>
      </c>
      <c r="U869" s="3">
        <v>34</v>
      </c>
      <c r="W869" s="45" t="str">
        <f>HYPERLINK("http://ictvonline.org/taxonomy/p/taxonomy-history?taxnode_id=201852063","ICTVonline=201852063")</f>
        <v>ICTVonline=201852063</v>
      </c>
      <c r="AA869" s="1">
        <v>201850000</v>
      </c>
      <c r="AB869" s="1">
        <v>34</v>
      </c>
    </row>
    <row r="870" spans="1:28" x14ac:dyDescent="0.15">
      <c r="A870" s="1">
        <v>2450</v>
      </c>
      <c r="B870" s="1" t="s">
        <v>7159</v>
      </c>
      <c r="J870" s="1" t="s">
        <v>1074</v>
      </c>
      <c r="L870" s="1" t="s">
        <v>1119</v>
      </c>
      <c r="N870" s="1" t="s">
        <v>970</v>
      </c>
      <c r="P870" s="1" t="s">
        <v>2645</v>
      </c>
      <c r="Q870" s="3">
        <v>1</v>
      </c>
      <c r="S870" s="23" t="s">
        <v>5949</v>
      </c>
      <c r="T870" s="23" t="s">
        <v>4931</v>
      </c>
      <c r="U870" s="3">
        <v>34</v>
      </c>
      <c r="W870" s="45" t="str">
        <f>HYPERLINK("http://ictvonline.org/taxonomy/p/taxonomy-history?taxnode_id=201852065","ICTVonline=201852065")</f>
        <v>ICTVonline=201852065</v>
      </c>
      <c r="AA870" s="1">
        <v>201850000</v>
      </c>
      <c r="AB870" s="1">
        <v>34</v>
      </c>
    </row>
    <row r="871" spans="1:28" x14ac:dyDescent="0.15">
      <c r="A871" s="1">
        <v>2454</v>
      </c>
      <c r="B871" s="1" t="s">
        <v>7159</v>
      </c>
      <c r="J871" s="1" t="s">
        <v>1074</v>
      </c>
      <c r="L871" s="1" t="s">
        <v>1119</v>
      </c>
      <c r="N871" s="1" t="s">
        <v>4609</v>
      </c>
      <c r="P871" s="1" t="s">
        <v>4610</v>
      </c>
      <c r="Q871" s="3">
        <v>1</v>
      </c>
      <c r="S871" s="23" t="s">
        <v>5949</v>
      </c>
      <c r="T871" s="23" t="s">
        <v>4931</v>
      </c>
      <c r="U871" s="3">
        <v>34</v>
      </c>
      <c r="W871" s="45" t="str">
        <f>HYPERLINK("http://ictvonline.org/taxonomy/p/taxonomy-history?taxnode_id=201852067","ICTVonline=201852067")</f>
        <v>ICTVonline=201852067</v>
      </c>
      <c r="AA871" s="1">
        <v>201850000</v>
      </c>
      <c r="AB871" s="1">
        <v>34</v>
      </c>
    </row>
    <row r="872" spans="1:28" x14ac:dyDescent="0.15">
      <c r="A872" s="1">
        <v>2458</v>
      </c>
      <c r="B872" s="1" t="s">
        <v>7159</v>
      </c>
      <c r="J872" s="1" t="s">
        <v>1074</v>
      </c>
      <c r="L872" s="1" t="s">
        <v>1119</v>
      </c>
      <c r="N872" s="1" t="s">
        <v>6926</v>
      </c>
      <c r="P872" s="1" t="s">
        <v>6927</v>
      </c>
      <c r="Q872" s="3">
        <v>1</v>
      </c>
      <c r="S872" s="23" t="s">
        <v>5949</v>
      </c>
      <c r="T872" s="23" t="s">
        <v>4929</v>
      </c>
      <c r="U872" s="3">
        <v>34</v>
      </c>
      <c r="V872" s="3" t="s">
        <v>6928</v>
      </c>
      <c r="W872" s="45" t="str">
        <f>HYPERLINK("http://ictvonline.org/taxonomy/p/taxonomy-history?taxnode_id=201856483","ICTVonline=201856483")</f>
        <v>ICTVonline=201856483</v>
      </c>
      <c r="AA872" s="1">
        <v>201850000</v>
      </c>
      <c r="AB872" s="1">
        <v>34</v>
      </c>
    </row>
    <row r="873" spans="1:28" x14ac:dyDescent="0.15">
      <c r="A873" s="1">
        <v>2462</v>
      </c>
      <c r="B873" s="1" t="s">
        <v>7159</v>
      </c>
      <c r="J873" s="1" t="s">
        <v>1074</v>
      </c>
      <c r="L873" s="1" t="s">
        <v>1119</v>
      </c>
      <c r="N873" s="1" t="s">
        <v>1001</v>
      </c>
      <c r="P873" s="1" t="s">
        <v>2646</v>
      </c>
      <c r="Q873" s="3">
        <v>1</v>
      </c>
      <c r="S873" s="23" t="s">
        <v>5949</v>
      </c>
      <c r="T873" s="23" t="s">
        <v>4931</v>
      </c>
      <c r="U873" s="3">
        <v>34</v>
      </c>
      <c r="W873" s="45" t="str">
        <f>HYPERLINK("http://ictvonline.org/taxonomy/p/taxonomy-history?taxnode_id=201852069","ICTVonline=201852069")</f>
        <v>ICTVonline=201852069</v>
      </c>
      <c r="AA873" s="1">
        <v>201850000</v>
      </c>
      <c r="AB873" s="1">
        <v>34</v>
      </c>
    </row>
    <row r="874" spans="1:28" x14ac:dyDescent="0.15">
      <c r="A874" s="1">
        <v>2468</v>
      </c>
      <c r="B874" s="1" t="s">
        <v>7159</v>
      </c>
      <c r="J874" s="1" t="s">
        <v>1074</v>
      </c>
      <c r="L874" s="1" t="s">
        <v>5177</v>
      </c>
      <c r="N874" s="1" t="s">
        <v>5178</v>
      </c>
      <c r="P874" s="1" t="s">
        <v>5179</v>
      </c>
      <c r="Q874" s="3">
        <v>1</v>
      </c>
      <c r="S874" s="23" t="s">
        <v>5949</v>
      </c>
      <c r="T874" s="23" t="s">
        <v>4931</v>
      </c>
      <c r="U874" s="3">
        <v>34</v>
      </c>
      <c r="W874" s="45" t="str">
        <f>HYPERLINK("http://ictvonline.org/taxonomy/p/taxonomy-history?taxnode_id=201855608","ICTVonline=201855608")</f>
        <v>ICTVonline=201855608</v>
      </c>
      <c r="AA874" s="1">
        <v>201850000</v>
      </c>
      <c r="AB874" s="1">
        <v>34</v>
      </c>
    </row>
    <row r="875" spans="1:28" x14ac:dyDescent="0.15">
      <c r="A875" s="1">
        <v>2470</v>
      </c>
      <c r="B875" s="1" t="s">
        <v>7159</v>
      </c>
      <c r="J875" s="1" t="s">
        <v>1074</v>
      </c>
      <c r="L875" s="1" t="s">
        <v>5177</v>
      </c>
      <c r="N875" s="1" t="s">
        <v>5178</v>
      </c>
      <c r="P875" s="1" t="s">
        <v>5180</v>
      </c>
      <c r="Q875" s="3">
        <v>0</v>
      </c>
      <c r="S875" s="23" t="s">
        <v>5949</v>
      </c>
      <c r="T875" s="23" t="s">
        <v>4931</v>
      </c>
      <c r="U875" s="3">
        <v>34</v>
      </c>
      <c r="W875" s="45" t="str">
        <f>HYPERLINK("http://ictvonline.org/taxonomy/p/taxonomy-history?taxnode_id=201855609","ICTVonline=201855609")</f>
        <v>ICTVonline=201855609</v>
      </c>
      <c r="AA875" s="1">
        <v>201850000</v>
      </c>
      <c r="AB875" s="1">
        <v>34</v>
      </c>
    </row>
    <row r="876" spans="1:28" x14ac:dyDescent="0.15">
      <c r="A876" s="1">
        <v>2474</v>
      </c>
      <c r="B876" s="1" t="s">
        <v>7159</v>
      </c>
      <c r="J876" s="1" t="s">
        <v>1074</v>
      </c>
      <c r="L876" s="1" t="s">
        <v>5177</v>
      </c>
      <c r="N876" s="1" t="s">
        <v>5181</v>
      </c>
      <c r="P876" s="1" t="s">
        <v>5182</v>
      </c>
      <c r="Q876" s="3">
        <v>1</v>
      </c>
      <c r="S876" s="23" t="s">
        <v>5949</v>
      </c>
      <c r="T876" s="23" t="s">
        <v>4931</v>
      </c>
      <c r="U876" s="3">
        <v>34</v>
      </c>
      <c r="W876" s="45" t="str">
        <f>HYPERLINK("http://ictvonline.org/taxonomy/p/taxonomy-history?taxnode_id=201855611","ICTVonline=201855611")</f>
        <v>ICTVonline=201855611</v>
      </c>
      <c r="AA876" s="1">
        <v>201850000</v>
      </c>
      <c r="AB876" s="1">
        <v>34</v>
      </c>
    </row>
    <row r="877" spans="1:28" x14ac:dyDescent="0.15">
      <c r="A877" s="1">
        <v>2478</v>
      </c>
      <c r="B877" s="1" t="s">
        <v>7159</v>
      </c>
      <c r="J877" s="1" t="s">
        <v>1074</v>
      </c>
      <c r="L877" s="1" t="s">
        <v>5177</v>
      </c>
      <c r="N877" s="1" t="s">
        <v>5183</v>
      </c>
      <c r="P877" s="1" t="s">
        <v>5184</v>
      </c>
      <c r="Q877" s="3">
        <v>0</v>
      </c>
      <c r="S877" s="23" t="s">
        <v>5949</v>
      </c>
      <c r="T877" s="23" t="s">
        <v>4931</v>
      </c>
      <c r="U877" s="3">
        <v>34</v>
      </c>
      <c r="W877" s="45" t="str">
        <f>HYPERLINK("http://ictvonline.org/taxonomy/p/taxonomy-history?taxnode_id=201855613","ICTVonline=201855613")</f>
        <v>ICTVonline=201855613</v>
      </c>
      <c r="AA877" s="1">
        <v>201850000</v>
      </c>
      <c r="AB877" s="1">
        <v>34</v>
      </c>
    </row>
    <row r="878" spans="1:28" x14ac:dyDescent="0.15">
      <c r="A878" s="1">
        <v>2480</v>
      </c>
      <c r="B878" s="1" t="s">
        <v>7159</v>
      </c>
      <c r="J878" s="1" t="s">
        <v>1074</v>
      </c>
      <c r="L878" s="1" t="s">
        <v>5177</v>
      </c>
      <c r="N878" s="1" t="s">
        <v>5183</v>
      </c>
      <c r="P878" s="1" t="s">
        <v>5185</v>
      </c>
      <c r="Q878" s="3">
        <v>0</v>
      </c>
      <c r="S878" s="23" t="s">
        <v>5949</v>
      </c>
      <c r="T878" s="23" t="s">
        <v>4931</v>
      </c>
      <c r="U878" s="3">
        <v>34</v>
      </c>
      <c r="W878" s="45" t="str">
        <f>HYPERLINK("http://ictvonline.org/taxonomy/p/taxonomy-history?taxnode_id=201855614","ICTVonline=201855614")</f>
        <v>ICTVonline=201855614</v>
      </c>
      <c r="AA878" s="1">
        <v>201850000</v>
      </c>
      <c r="AB878" s="1">
        <v>34</v>
      </c>
    </row>
    <row r="879" spans="1:28" x14ac:dyDescent="0.15">
      <c r="A879" s="1">
        <v>2482</v>
      </c>
      <c r="B879" s="1" t="s">
        <v>7159</v>
      </c>
      <c r="J879" s="1" t="s">
        <v>1074</v>
      </c>
      <c r="L879" s="1" t="s">
        <v>5177</v>
      </c>
      <c r="N879" s="1" t="s">
        <v>5183</v>
      </c>
      <c r="P879" s="1" t="s">
        <v>5186</v>
      </c>
      <c r="Q879" s="3">
        <v>0</v>
      </c>
      <c r="S879" s="23" t="s">
        <v>5949</v>
      </c>
      <c r="T879" s="23" t="s">
        <v>4931</v>
      </c>
      <c r="U879" s="3">
        <v>34</v>
      </c>
      <c r="W879" s="45" t="str">
        <f>HYPERLINK("http://ictvonline.org/taxonomy/p/taxonomy-history?taxnode_id=201855615","ICTVonline=201855615")</f>
        <v>ICTVonline=201855615</v>
      </c>
      <c r="AA879" s="1">
        <v>201850000</v>
      </c>
      <c r="AB879" s="1">
        <v>34</v>
      </c>
    </row>
    <row r="880" spans="1:28" x14ac:dyDescent="0.15">
      <c r="A880" s="1">
        <v>2484</v>
      </c>
      <c r="B880" s="1" t="s">
        <v>7159</v>
      </c>
      <c r="J880" s="1" t="s">
        <v>1074</v>
      </c>
      <c r="L880" s="1" t="s">
        <v>5177</v>
      </c>
      <c r="N880" s="1" t="s">
        <v>5183</v>
      </c>
      <c r="P880" s="1" t="s">
        <v>5187</v>
      </c>
      <c r="Q880" s="3">
        <v>0</v>
      </c>
      <c r="S880" s="23" t="s">
        <v>5949</v>
      </c>
      <c r="T880" s="23" t="s">
        <v>4931</v>
      </c>
      <c r="U880" s="3">
        <v>34</v>
      </c>
      <c r="W880" s="45" t="str">
        <f>HYPERLINK("http://ictvonline.org/taxonomy/p/taxonomy-history?taxnode_id=201855616","ICTVonline=201855616")</f>
        <v>ICTVonline=201855616</v>
      </c>
      <c r="AA880" s="1">
        <v>201850000</v>
      </c>
      <c r="AB880" s="1">
        <v>34</v>
      </c>
    </row>
    <row r="881" spans="1:28" x14ac:dyDescent="0.15">
      <c r="A881" s="1">
        <v>2486</v>
      </c>
      <c r="B881" s="1" t="s">
        <v>7159</v>
      </c>
      <c r="J881" s="1" t="s">
        <v>1074</v>
      </c>
      <c r="L881" s="1" t="s">
        <v>5177</v>
      </c>
      <c r="N881" s="1" t="s">
        <v>5183</v>
      </c>
      <c r="P881" s="1" t="s">
        <v>5188</v>
      </c>
      <c r="Q881" s="3">
        <v>0</v>
      </c>
      <c r="S881" s="23" t="s">
        <v>5949</v>
      </c>
      <c r="T881" s="23" t="s">
        <v>4931</v>
      </c>
      <c r="U881" s="3">
        <v>34</v>
      </c>
      <c r="W881" s="45" t="str">
        <f>HYPERLINK("http://ictvonline.org/taxonomy/p/taxonomy-history?taxnode_id=201855617","ICTVonline=201855617")</f>
        <v>ICTVonline=201855617</v>
      </c>
      <c r="AA881" s="1">
        <v>201850000</v>
      </c>
      <c r="AB881" s="1">
        <v>34</v>
      </c>
    </row>
    <row r="882" spans="1:28" x14ac:dyDescent="0.15">
      <c r="A882" s="1">
        <v>2488</v>
      </c>
      <c r="B882" s="1" t="s">
        <v>7159</v>
      </c>
      <c r="J882" s="1" t="s">
        <v>1074</v>
      </c>
      <c r="L882" s="1" t="s">
        <v>5177</v>
      </c>
      <c r="N882" s="1" t="s">
        <v>5183</v>
      </c>
      <c r="P882" s="1" t="s">
        <v>5189</v>
      </c>
      <c r="Q882" s="3">
        <v>0</v>
      </c>
      <c r="S882" s="23" t="s">
        <v>5949</v>
      </c>
      <c r="T882" s="23" t="s">
        <v>4931</v>
      </c>
      <c r="U882" s="3">
        <v>34</v>
      </c>
      <c r="W882" s="45" t="str">
        <f>HYPERLINK("http://ictvonline.org/taxonomy/p/taxonomy-history?taxnode_id=201855618","ICTVonline=201855618")</f>
        <v>ICTVonline=201855618</v>
      </c>
      <c r="AA882" s="1">
        <v>201850000</v>
      </c>
      <c r="AB882" s="1">
        <v>34</v>
      </c>
    </row>
    <row r="883" spans="1:28" x14ac:dyDescent="0.15">
      <c r="A883" s="1">
        <v>2490</v>
      </c>
      <c r="B883" s="1" t="s">
        <v>7159</v>
      </c>
      <c r="J883" s="1" t="s">
        <v>1074</v>
      </c>
      <c r="L883" s="1" t="s">
        <v>5177</v>
      </c>
      <c r="N883" s="1" t="s">
        <v>5183</v>
      </c>
      <c r="P883" s="1" t="s">
        <v>5190</v>
      </c>
      <c r="Q883" s="3">
        <v>0</v>
      </c>
      <c r="S883" s="23" t="s">
        <v>5949</v>
      </c>
      <c r="T883" s="23" t="s">
        <v>4931</v>
      </c>
      <c r="U883" s="3">
        <v>34</v>
      </c>
      <c r="W883" s="45" t="str">
        <f>HYPERLINK("http://ictvonline.org/taxonomy/p/taxonomy-history?taxnode_id=201855619","ICTVonline=201855619")</f>
        <v>ICTVonline=201855619</v>
      </c>
      <c r="AA883" s="1">
        <v>201850000</v>
      </c>
      <c r="AB883" s="1">
        <v>34</v>
      </c>
    </row>
    <row r="884" spans="1:28" x14ac:dyDescent="0.15">
      <c r="A884" s="1">
        <v>2492</v>
      </c>
      <c r="B884" s="1" t="s">
        <v>7159</v>
      </c>
      <c r="J884" s="1" t="s">
        <v>1074</v>
      </c>
      <c r="L884" s="1" t="s">
        <v>5177</v>
      </c>
      <c r="N884" s="1" t="s">
        <v>5183</v>
      </c>
      <c r="P884" s="1" t="s">
        <v>5191</v>
      </c>
      <c r="Q884" s="3">
        <v>0</v>
      </c>
      <c r="S884" s="23" t="s">
        <v>5949</v>
      </c>
      <c r="T884" s="23" t="s">
        <v>4931</v>
      </c>
      <c r="U884" s="3">
        <v>34</v>
      </c>
      <c r="W884" s="45" t="str">
        <f>HYPERLINK("http://ictvonline.org/taxonomy/p/taxonomy-history?taxnode_id=201855620","ICTVonline=201855620")</f>
        <v>ICTVonline=201855620</v>
      </c>
      <c r="AA884" s="1">
        <v>201850000</v>
      </c>
      <c r="AB884" s="1">
        <v>34</v>
      </c>
    </row>
    <row r="885" spans="1:28" x14ac:dyDescent="0.15">
      <c r="A885" s="1">
        <v>2494</v>
      </c>
      <c r="B885" s="1" t="s">
        <v>7159</v>
      </c>
      <c r="J885" s="1" t="s">
        <v>1074</v>
      </c>
      <c r="L885" s="1" t="s">
        <v>5177</v>
      </c>
      <c r="N885" s="1" t="s">
        <v>5183</v>
      </c>
      <c r="P885" s="1" t="s">
        <v>5192</v>
      </c>
      <c r="Q885" s="3">
        <v>0</v>
      </c>
      <c r="S885" s="23" t="s">
        <v>5949</v>
      </c>
      <c r="T885" s="23" t="s">
        <v>4931</v>
      </c>
      <c r="U885" s="3">
        <v>34</v>
      </c>
      <c r="W885" s="45" t="str">
        <f>HYPERLINK("http://ictvonline.org/taxonomy/p/taxonomy-history?taxnode_id=201855621","ICTVonline=201855621")</f>
        <v>ICTVonline=201855621</v>
      </c>
      <c r="AA885" s="1">
        <v>201850000</v>
      </c>
      <c r="AB885" s="1">
        <v>34</v>
      </c>
    </row>
    <row r="886" spans="1:28" x14ac:dyDescent="0.15">
      <c r="A886" s="1">
        <v>2496</v>
      </c>
      <c r="B886" s="1" t="s">
        <v>7159</v>
      </c>
      <c r="J886" s="1" t="s">
        <v>1074</v>
      </c>
      <c r="L886" s="1" t="s">
        <v>5177</v>
      </c>
      <c r="N886" s="1" t="s">
        <v>5183</v>
      </c>
      <c r="P886" s="1" t="s">
        <v>5193</v>
      </c>
      <c r="Q886" s="3">
        <v>1</v>
      </c>
      <c r="S886" s="23" t="s">
        <v>5949</v>
      </c>
      <c r="T886" s="23" t="s">
        <v>4931</v>
      </c>
      <c r="U886" s="3">
        <v>34</v>
      </c>
      <c r="W886" s="45" t="str">
        <f>HYPERLINK("http://ictvonline.org/taxonomy/p/taxonomy-history?taxnode_id=201855622","ICTVonline=201855622")</f>
        <v>ICTVonline=201855622</v>
      </c>
      <c r="AA886" s="1">
        <v>201850000</v>
      </c>
      <c r="AB886" s="1">
        <v>34</v>
      </c>
    </row>
    <row r="887" spans="1:28" x14ac:dyDescent="0.15">
      <c r="A887" s="1">
        <v>2498</v>
      </c>
      <c r="B887" s="1" t="s">
        <v>7159</v>
      </c>
      <c r="J887" s="1" t="s">
        <v>1074</v>
      </c>
      <c r="L887" s="1" t="s">
        <v>5177</v>
      </c>
      <c r="N887" s="1" t="s">
        <v>5183</v>
      </c>
      <c r="P887" s="1" t="s">
        <v>5194</v>
      </c>
      <c r="Q887" s="3">
        <v>0</v>
      </c>
      <c r="S887" s="23" t="s">
        <v>5949</v>
      </c>
      <c r="T887" s="23" t="s">
        <v>4931</v>
      </c>
      <c r="U887" s="3">
        <v>34</v>
      </c>
      <c r="W887" s="45" t="str">
        <f>HYPERLINK("http://ictvonline.org/taxonomy/p/taxonomy-history?taxnode_id=201855623","ICTVonline=201855623")</f>
        <v>ICTVonline=201855623</v>
      </c>
      <c r="AA887" s="1">
        <v>201850000</v>
      </c>
      <c r="AB887" s="1">
        <v>34</v>
      </c>
    </row>
    <row r="888" spans="1:28" x14ac:dyDescent="0.15">
      <c r="A888" s="1">
        <v>2505</v>
      </c>
      <c r="B888" s="1" t="s">
        <v>7159</v>
      </c>
      <c r="J888" s="1" t="s">
        <v>1074</v>
      </c>
      <c r="L888" s="1" t="s">
        <v>1999</v>
      </c>
      <c r="M888" s="1" t="s">
        <v>1887</v>
      </c>
      <c r="N888" s="1" t="s">
        <v>1884</v>
      </c>
      <c r="P888" s="1" t="s">
        <v>688</v>
      </c>
      <c r="Q888" s="3">
        <v>0</v>
      </c>
      <c r="S888" s="23" t="s">
        <v>5949</v>
      </c>
      <c r="T888" s="23" t="s">
        <v>4931</v>
      </c>
      <c r="U888" s="3">
        <v>34</v>
      </c>
      <c r="W888" s="45" t="str">
        <f>HYPERLINK("http://ictvonline.org/taxonomy/p/taxonomy-history?taxnode_id=201852073","ICTVonline=201852073")</f>
        <v>ICTVonline=201852073</v>
      </c>
      <c r="AA888" s="1">
        <v>201850000</v>
      </c>
      <c r="AB888" s="1">
        <v>34</v>
      </c>
    </row>
    <row r="889" spans="1:28" x14ac:dyDescent="0.15">
      <c r="A889" s="1">
        <v>2507</v>
      </c>
      <c r="B889" s="1" t="s">
        <v>7159</v>
      </c>
      <c r="J889" s="1" t="s">
        <v>1074</v>
      </c>
      <c r="L889" s="1" t="s">
        <v>1999</v>
      </c>
      <c r="M889" s="1" t="s">
        <v>1887</v>
      </c>
      <c r="N889" s="1" t="s">
        <v>1884</v>
      </c>
      <c r="P889" s="1" t="s">
        <v>689</v>
      </c>
      <c r="Q889" s="3">
        <v>0</v>
      </c>
      <c r="S889" s="23" t="s">
        <v>5949</v>
      </c>
      <c r="T889" s="23" t="s">
        <v>4931</v>
      </c>
      <c r="U889" s="3">
        <v>34</v>
      </c>
      <c r="W889" s="45" t="str">
        <f>HYPERLINK("http://ictvonline.org/taxonomy/p/taxonomy-history?taxnode_id=201852074","ICTVonline=201852074")</f>
        <v>ICTVonline=201852074</v>
      </c>
      <c r="AA889" s="1">
        <v>201850000</v>
      </c>
      <c r="AB889" s="1">
        <v>34</v>
      </c>
    </row>
    <row r="890" spans="1:28" x14ac:dyDescent="0.15">
      <c r="A890" s="1">
        <v>2509</v>
      </c>
      <c r="B890" s="1" t="s">
        <v>7159</v>
      </c>
      <c r="J890" s="1" t="s">
        <v>1074</v>
      </c>
      <c r="L890" s="1" t="s">
        <v>1999</v>
      </c>
      <c r="M890" s="1" t="s">
        <v>1887</v>
      </c>
      <c r="N890" s="1" t="s">
        <v>1884</v>
      </c>
      <c r="P890" s="1" t="s">
        <v>690</v>
      </c>
      <c r="Q890" s="3">
        <v>0</v>
      </c>
      <c r="S890" s="23" t="s">
        <v>5949</v>
      </c>
      <c r="T890" s="23" t="s">
        <v>4931</v>
      </c>
      <c r="U890" s="3">
        <v>34</v>
      </c>
      <c r="W890" s="45" t="str">
        <f>HYPERLINK("http://ictvonline.org/taxonomy/p/taxonomy-history?taxnode_id=201852075","ICTVonline=201852075")</f>
        <v>ICTVonline=201852075</v>
      </c>
      <c r="AA890" s="1">
        <v>201850000</v>
      </c>
      <c r="AB890" s="1">
        <v>34</v>
      </c>
    </row>
    <row r="891" spans="1:28" x14ac:dyDescent="0.15">
      <c r="A891" s="1">
        <v>2511</v>
      </c>
      <c r="B891" s="1" t="s">
        <v>7159</v>
      </c>
      <c r="J891" s="1" t="s">
        <v>1074</v>
      </c>
      <c r="L891" s="1" t="s">
        <v>1999</v>
      </c>
      <c r="M891" s="1" t="s">
        <v>1887</v>
      </c>
      <c r="N891" s="1" t="s">
        <v>1884</v>
      </c>
      <c r="P891" s="1" t="s">
        <v>691</v>
      </c>
      <c r="Q891" s="3">
        <v>0</v>
      </c>
      <c r="S891" s="23" t="s">
        <v>5949</v>
      </c>
      <c r="T891" s="23" t="s">
        <v>4931</v>
      </c>
      <c r="U891" s="3">
        <v>34</v>
      </c>
      <c r="W891" s="45" t="str">
        <f>HYPERLINK("http://ictvonline.org/taxonomy/p/taxonomy-history?taxnode_id=201852076","ICTVonline=201852076")</f>
        <v>ICTVonline=201852076</v>
      </c>
      <c r="AA891" s="1">
        <v>201850000</v>
      </c>
      <c r="AB891" s="1">
        <v>34</v>
      </c>
    </row>
    <row r="892" spans="1:28" x14ac:dyDescent="0.15">
      <c r="A892" s="1">
        <v>2513</v>
      </c>
      <c r="B892" s="1" t="s">
        <v>7159</v>
      </c>
      <c r="J892" s="1" t="s">
        <v>1074</v>
      </c>
      <c r="L892" s="1" t="s">
        <v>1999</v>
      </c>
      <c r="M892" s="1" t="s">
        <v>1887</v>
      </c>
      <c r="N892" s="1" t="s">
        <v>1884</v>
      </c>
      <c r="P892" s="1" t="s">
        <v>1075</v>
      </c>
      <c r="Q892" s="3">
        <v>0</v>
      </c>
      <c r="S892" s="23" t="s">
        <v>5949</v>
      </c>
      <c r="T892" s="23" t="s">
        <v>4931</v>
      </c>
      <c r="U892" s="3">
        <v>34</v>
      </c>
      <c r="W892" s="45" t="str">
        <f>HYPERLINK("http://ictvonline.org/taxonomy/p/taxonomy-history?taxnode_id=201852077","ICTVonline=201852077")</f>
        <v>ICTVonline=201852077</v>
      </c>
      <c r="AA892" s="1">
        <v>201850000</v>
      </c>
      <c r="AB892" s="1">
        <v>34</v>
      </c>
    </row>
    <row r="893" spans="1:28" x14ac:dyDescent="0.15">
      <c r="A893" s="1">
        <v>2515</v>
      </c>
      <c r="B893" s="1" t="s">
        <v>7159</v>
      </c>
      <c r="J893" s="1" t="s">
        <v>1074</v>
      </c>
      <c r="L893" s="1" t="s">
        <v>1999</v>
      </c>
      <c r="M893" s="1" t="s">
        <v>1887</v>
      </c>
      <c r="N893" s="1" t="s">
        <v>1884</v>
      </c>
      <c r="P893" s="1" t="s">
        <v>1076</v>
      </c>
      <c r="Q893" s="3">
        <v>1</v>
      </c>
      <c r="S893" s="23" t="s">
        <v>5949</v>
      </c>
      <c r="T893" s="23" t="s">
        <v>4931</v>
      </c>
      <c r="U893" s="3">
        <v>34</v>
      </c>
      <c r="W893" s="45" t="str">
        <f>HYPERLINK("http://ictvonline.org/taxonomy/p/taxonomy-history?taxnode_id=201852078","ICTVonline=201852078")</f>
        <v>ICTVonline=201852078</v>
      </c>
      <c r="AA893" s="1">
        <v>201850000</v>
      </c>
      <c r="AB893" s="1">
        <v>34</v>
      </c>
    </row>
    <row r="894" spans="1:28" x14ac:dyDescent="0.15">
      <c r="A894" s="1">
        <v>2517</v>
      </c>
      <c r="B894" s="1" t="s">
        <v>7159</v>
      </c>
      <c r="J894" s="1" t="s">
        <v>1074</v>
      </c>
      <c r="L894" s="1" t="s">
        <v>1999</v>
      </c>
      <c r="M894" s="1" t="s">
        <v>1887</v>
      </c>
      <c r="N894" s="1" t="s">
        <v>1884</v>
      </c>
      <c r="P894" s="1" t="s">
        <v>692</v>
      </c>
      <c r="Q894" s="3">
        <v>0</v>
      </c>
      <c r="S894" s="23" t="s">
        <v>5949</v>
      </c>
      <c r="T894" s="23" t="s">
        <v>4931</v>
      </c>
      <c r="U894" s="3">
        <v>34</v>
      </c>
      <c r="W894" s="45" t="str">
        <f>HYPERLINK("http://ictvonline.org/taxonomy/p/taxonomy-history?taxnode_id=201852079","ICTVonline=201852079")</f>
        <v>ICTVonline=201852079</v>
      </c>
      <c r="AA894" s="1">
        <v>201850000</v>
      </c>
      <c r="AB894" s="1">
        <v>34</v>
      </c>
    </row>
    <row r="895" spans="1:28" x14ac:dyDescent="0.15">
      <c r="A895" s="1">
        <v>2519</v>
      </c>
      <c r="B895" s="1" t="s">
        <v>7159</v>
      </c>
      <c r="J895" s="1" t="s">
        <v>1074</v>
      </c>
      <c r="L895" s="1" t="s">
        <v>1999</v>
      </c>
      <c r="M895" s="1" t="s">
        <v>1887</v>
      </c>
      <c r="N895" s="1" t="s">
        <v>1884</v>
      </c>
      <c r="P895" s="1" t="s">
        <v>1153</v>
      </c>
      <c r="Q895" s="3">
        <v>0</v>
      </c>
      <c r="S895" s="23" t="s">
        <v>5949</v>
      </c>
      <c r="T895" s="23" t="s">
        <v>4931</v>
      </c>
      <c r="U895" s="3">
        <v>34</v>
      </c>
      <c r="W895" s="45" t="str">
        <f>HYPERLINK("http://ictvonline.org/taxonomy/p/taxonomy-history?taxnode_id=201852080","ICTVonline=201852080")</f>
        <v>ICTVonline=201852080</v>
      </c>
      <c r="AA895" s="1">
        <v>201850000</v>
      </c>
      <c r="AB895" s="1">
        <v>34</v>
      </c>
    </row>
    <row r="896" spans="1:28" x14ac:dyDescent="0.15">
      <c r="A896" s="1">
        <v>2521</v>
      </c>
      <c r="B896" s="1" t="s">
        <v>7159</v>
      </c>
      <c r="J896" s="1" t="s">
        <v>1074</v>
      </c>
      <c r="L896" s="1" t="s">
        <v>1999</v>
      </c>
      <c r="M896" s="1" t="s">
        <v>1887</v>
      </c>
      <c r="N896" s="1" t="s">
        <v>1884</v>
      </c>
      <c r="P896" s="1" t="s">
        <v>1154</v>
      </c>
      <c r="Q896" s="3">
        <v>0</v>
      </c>
      <c r="S896" s="23" t="s">
        <v>5949</v>
      </c>
      <c r="T896" s="23" t="s">
        <v>4931</v>
      </c>
      <c r="U896" s="3">
        <v>34</v>
      </c>
      <c r="W896" s="45" t="str">
        <f>HYPERLINK("http://ictvonline.org/taxonomy/p/taxonomy-history?taxnode_id=201852081","ICTVonline=201852081")</f>
        <v>ICTVonline=201852081</v>
      </c>
      <c r="AA896" s="1">
        <v>201850000</v>
      </c>
      <c r="AB896" s="1">
        <v>34</v>
      </c>
    </row>
    <row r="897" spans="1:28" x14ac:dyDescent="0.15">
      <c r="A897" s="1">
        <v>2523</v>
      </c>
      <c r="B897" s="1" t="s">
        <v>7159</v>
      </c>
      <c r="J897" s="1" t="s">
        <v>1074</v>
      </c>
      <c r="L897" s="1" t="s">
        <v>1999</v>
      </c>
      <c r="M897" s="1" t="s">
        <v>1887</v>
      </c>
      <c r="N897" s="1" t="s">
        <v>1884</v>
      </c>
      <c r="P897" s="1" t="s">
        <v>1358</v>
      </c>
      <c r="Q897" s="3">
        <v>0</v>
      </c>
      <c r="S897" s="23" t="s">
        <v>5949</v>
      </c>
      <c r="T897" s="23" t="s">
        <v>4931</v>
      </c>
      <c r="U897" s="3">
        <v>34</v>
      </c>
      <c r="W897" s="45" t="str">
        <f>HYPERLINK("http://ictvonline.org/taxonomy/p/taxonomy-history?taxnode_id=201852082","ICTVonline=201852082")</f>
        <v>ICTVonline=201852082</v>
      </c>
      <c r="AA897" s="1">
        <v>201850000</v>
      </c>
      <c r="AB897" s="1">
        <v>34</v>
      </c>
    </row>
    <row r="898" spans="1:28" x14ac:dyDescent="0.15">
      <c r="A898" s="1">
        <v>2525</v>
      </c>
      <c r="B898" s="1" t="s">
        <v>7159</v>
      </c>
      <c r="J898" s="1" t="s">
        <v>1074</v>
      </c>
      <c r="L898" s="1" t="s">
        <v>1999</v>
      </c>
      <c r="M898" s="1" t="s">
        <v>1887</v>
      </c>
      <c r="N898" s="1" t="s">
        <v>1884</v>
      </c>
      <c r="P898" s="1" t="s">
        <v>910</v>
      </c>
      <c r="Q898" s="3">
        <v>0</v>
      </c>
      <c r="S898" s="23" t="s">
        <v>5949</v>
      </c>
      <c r="T898" s="23" t="s">
        <v>4931</v>
      </c>
      <c r="U898" s="3">
        <v>34</v>
      </c>
      <c r="W898" s="45" t="str">
        <f>HYPERLINK("http://ictvonline.org/taxonomy/p/taxonomy-history?taxnode_id=201852083","ICTVonline=201852083")</f>
        <v>ICTVonline=201852083</v>
      </c>
      <c r="AA898" s="1">
        <v>201850000</v>
      </c>
      <c r="AB898" s="1">
        <v>34</v>
      </c>
    </row>
    <row r="899" spans="1:28" x14ac:dyDescent="0.15">
      <c r="A899" s="1">
        <v>2527</v>
      </c>
      <c r="B899" s="1" t="s">
        <v>7159</v>
      </c>
      <c r="J899" s="1" t="s">
        <v>1074</v>
      </c>
      <c r="L899" s="1" t="s">
        <v>1999</v>
      </c>
      <c r="M899" s="1" t="s">
        <v>1887</v>
      </c>
      <c r="N899" s="1" t="s">
        <v>1884</v>
      </c>
      <c r="P899" s="1" t="s">
        <v>911</v>
      </c>
      <c r="Q899" s="3">
        <v>0</v>
      </c>
      <c r="S899" s="23" t="s">
        <v>5949</v>
      </c>
      <c r="T899" s="23" t="s">
        <v>4931</v>
      </c>
      <c r="U899" s="3">
        <v>34</v>
      </c>
      <c r="W899" s="45" t="str">
        <f>HYPERLINK("http://ictvonline.org/taxonomy/p/taxonomy-history?taxnode_id=201852084","ICTVonline=201852084")</f>
        <v>ICTVonline=201852084</v>
      </c>
      <c r="AA899" s="1">
        <v>201850000</v>
      </c>
      <c r="AB899" s="1">
        <v>34</v>
      </c>
    </row>
    <row r="900" spans="1:28" x14ac:dyDescent="0.15">
      <c r="A900" s="1">
        <v>2529</v>
      </c>
      <c r="B900" s="1" t="s">
        <v>7159</v>
      </c>
      <c r="J900" s="1" t="s">
        <v>1074</v>
      </c>
      <c r="L900" s="1" t="s">
        <v>1999</v>
      </c>
      <c r="M900" s="1" t="s">
        <v>1887</v>
      </c>
      <c r="N900" s="1" t="s">
        <v>1884</v>
      </c>
      <c r="P900" s="1" t="s">
        <v>1360</v>
      </c>
      <c r="Q900" s="3">
        <v>0</v>
      </c>
      <c r="S900" s="23" t="s">
        <v>5949</v>
      </c>
      <c r="T900" s="23" t="s">
        <v>4931</v>
      </c>
      <c r="U900" s="3">
        <v>34</v>
      </c>
      <c r="W900" s="45" t="str">
        <f>HYPERLINK("http://ictvonline.org/taxonomy/p/taxonomy-history?taxnode_id=201852085","ICTVonline=201852085")</f>
        <v>ICTVonline=201852085</v>
      </c>
      <c r="AA900" s="1">
        <v>201850000</v>
      </c>
      <c r="AB900" s="1">
        <v>34</v>
      </c>
    </row>
    <row r="901" spans="1:28" x14ac:dyDescent="0.15">
      <c r="A901" s="1">
        <v>2531</v>
      </c>
      <c r="B901" s="1" t="s">
        <v>7159</v>
      </c>
      <c r="J901" s="1" t="s">
        <v>1074</v>
      </c>
      <c r="L901" s="1" t="s">
        <v>1999</v>
      </c>
      <c r="M901" s="1" t="s">
        <v>1887</v>
      </c>
      <c r="N901" s="1" t="s">
        <v>1884</v>
      </c>
      <c r="P901" s="1" t="s">
        <v>574</v>
      </c>
      <c r="Q901" s="3">
        <v>0</v>
      </c>
      <c r="S901" s="23" t="s">
        <v>5949</v>
      </c>
      <c r="T901" s="23" t="s">
        <v>4931</v>
      </c>
      <c r="U901" s="3">
        <v>34</v>
      </c>
      <c r="W901" s="45" t="str">
        <f>HYPERLINK("http://ictvonline.org/taxonomy/p/taxonomy-history?taxnode_id=201852086","ICTVonline=201852086")</f>
        <v>ICTVonline=201852086</v>
      </c>
      <c r="AA901" s="1">
        <v>201850000</v>
      </c>
      <c r="AB901" s="1">
        <v>34</v>
      </c>
    </row>
    <row r="902" spans="1:28" x14ac:dyDescent="0.15">
      <c r="A902" s="1">
        <v>2533</v>
      </c>
      <c r="B902" s="1" t="s">
        <v>7159</v>
      </c>
      <c r="J902" s="1" t="s">
        <v>1074</v>
      </c>
      <c r="L902" s="1" t="s">
        <v>1999</v>
      </c>
      <c r="M902" s="1" t="s">
        <v>1887</v>
      </c>
      <c r="N902" s="1" t="s">
        <v>1884</v>
      </c>
      <c r="P902" s="1" t="s">
        <v>575</v>
      </c>
      <c r="Q902" s="3">
        <v>0</v>
      </c>
      <c r="S902" s="23" t="s">
        <v>5949</v>
      </c>
      <c r="T902" s="23" t="s">
        <v>4931</v>
      </c>
      <c r="U902" s="3">
        <v>34</v>
      </c>
      <c r="W902" s="45" t="str">
        <f>HYPERLINK("http://ictvonline.org/taxonomy/p/taxonomy-history?taxnode_id=201852087","ICTVonline=201852087")</f>
        <v>ICTVonline=201852087</v>
      </c>
      <c r="AA902" s="1">
        <v>201850000</v>
      </c>
      <c r="AB902" s="1">
        <v>34</v>
      </c>
    </row>
    <row r="903" spans="1:28" x14ac:dyDescent="0.15">
      <c r="A903" s="1">
        <v>2537</v>
      </c>
      <c r="B903" s="1" t="s">
        <v>7159</v>
      </c>
      <c r="J903" s="1" t="s">
        <v>1074</v>
      </c>
      <c r="L903" s="1" t="s">
        <v>1999</v>
      </c>
      <c r="M903" s="1" t="s">
        <v>1887</v>
      </c>
      <c r="N903" s="1" t="s">
        <v>1885</v>
      </c>
      <c r="P903" s="1" t="s">
        <v>576</v>
      </c>
      <c r="Q903" s="3">
        <v>1</v>
      </c>
      <c r="S903" s="23" t="s">
        <v>5949</v>
      </c>
      <c r="T903" s="23" t="s">
        <v>4931</v>
      </c>
      <c r="U903" s="3">
        <v>34</v>
      </c>
      <c r="W903" s="45" t="str">
        <f>HYPERLINK("http://ictvonline.org/taxonomy/p/taxonomy-history?taxnode_id=201852089","ICTVonline=201852089")</f>
        <v>ICTVonline=201852089</v>
      </c>
      <c r="AA903" s="1">
        <v>201850000</v>
      </c>
      <c r="AB903" s="1">
        <v>34</v>
      </c>
    </row>
    <row r="904" spans="1:28" x14ac:dyDescent="0.15">
      <c r="A904" s="1">
        <v>2539</v>
      </c>
      <c r="B904" s="1" t="s">
        <v>7159</v>
      </c>
      <c r="J904" s="1" t="s">
        <v>1074</v>
      </c>
      <c r="L904" s="1" t="s">
        <v>1999</v>
      </c>
      <c r="M904" s="1" t="s">
        <v>1887</v>
      </c>
      <c r="N904" s="1" t="s">
        <v>1885</v>
      </c>
      <c r="P904" s="1" t="s">
        <v>577</v>
      </c>
      <c r="Q904" s="3">
        <v>0</v>
      </c>
      <c r="S904" s="23" t="s">
        <v>5949</v>
      </c>
      <c r="T904" s="23" t="s">
        <v>4931</v>
      </c>
      <c r="U904" s="3">
        <v>34</v>
      </c>
      <c r="W904" s="45" t="str">
        <f>HYPERLINK("http://ictvonline.org/taxonomy/p/taxonomy-history?taxnode_id=201852090","ICTVonline=201852090")</f>
        <v>ICTVonline=201852090</v>
      </c>
      <c r="AA904" s="1">
        <v>201850000</v>
      </c>
      <c r="AB904" s="1">
        <v>34</v>
      </c>
    </row>
    <row r="905" spans="1:28" x14ac:dyDescent="0.15">
      <c r="A905" s="1">
        <v>2541</v>
      </c>
      <c r="B905" s="1" t="s">
        <v>7159</v>
      </c>
      <c r="J905" s="1" t="s">
        <v>1074</v>
      </c>
      <c r="L905" s="1" t="s">
        <v>1999</v>
      </c>
      <c r="M905" s="1" t="s">
        <v>1887</v>
      </c>
      <c r="N905" s="1" t="s">
        <v>1885</v>
      </c>
      <c r="P905" s="1" t="s">
        <v>2194</v>
      </c>
      <c r="Q905" s="3">
        <v>0</v>
      </c>
      <c r="S905" s="23" t="s">
        <v>5949</v>
      </c>
      <c r="T905" s="23" t="s">
        <v>4931</v>
      </c>
      <c r="U905" s="3">
        <v>34</v>
      </c>
      <c r="W905" s="45" t="str">
        <f>HYPERLINK("http://ictvonline.org/taxonomy/p/taxonomy-history?taxnode_id=201852091","ICTVonline=201852091")</f>
        <v>ICTVonline=201852091</v>
      </c>
      <c r="AA905" s="1">
        <v>201850000</v>
      </c>
      <c r="AB905" s="1">
        <v>34</v>
      </c>
    </row>
    <row r="906" spans="1:28" x14ac:dyDescent="0.15">
      <c r="A906" s="1">
        <v>2543</v>
      </c>
      <c r="B906" s="1" t="s">
        <v>7159</v>
      </c>
      <c r="J906" s="1" t="s">
        <v>1074</v>
      </c>
      <c r="L906" s="1" t="s">
        <v>1999</v>
      </c>
      <c r="M906" s="1" t="s">
        <v>1887</v>
      </c>
      <c r="N906" s="1" t="s">
        <v>1885</v>
      </c>
      <c r="P906" s="1" t="s">
        <v>578</v>
      </c>
      <c r="Q906" s="3">
        <v>0</v>
      </c>
      <c r="S906" s="23" t="s">
        <v>5949</v>
      </c>
      <c r="T906" s="23" t="s">
        <v>4931</v>
      </c>
      <c r="U906" s="3">
        <v>34</v>
      </c>
      <c r="W906" s="45" t="str">
        <f>HYPERLINK("http://ictvonline.org/taxonomy/p/taxonomy-history?taxnode_id=201852092","ICTVonline=201852092")</f>
        <v>ICTVonline=201852092</v>
      </c>
      <c r="AA906" s="1">
        <v>201850000</v>
      </c>
      <c r="AB906" s="1">
        <v>34</v>
      </c>
    </row>
    <row r="907" spans="1:28" x14ac:dyDescent="0.15">
      <c r="A907" s="1">
        <v>2545</v>
      </c>
      <c r="B907" s="1" t="s">
        <v>7159</v>
      </c>
      <c r="J907" s="1" t="s">
        <v>1074</v>
      </c>
      <c r="L907" s="1" t="s">
        <v>1999</v>
      </c>
      <c r="M907" s="1" t="s">
        <v>1887</v>
      </c>
      <c r="N907" s="1" t="s">
        <v>1885</v>
      </c>
      <c r="P907" s="1" t="s">
        <v>5195</v>
      </c>
      <c r="Q907" s="3">
        <v>0</v>
      </c>
      <c r="S907" s="23" t="s">
        <v>5949</v>
      </c>
      <c r="T907" s="23" t="s">
        <v>4931</v>
      </c>
      <c r="U907" s="3">
        <v>34</v>
      </c>
      <c r="W907" s="45" t="str">
        <f>HYPERLINK("http://ictvonline.org/taxonomy/p/taxonomy-history?taxnode_id=201855626","ICTVonline=201855626")</f>
        <v>ICTVonline=201855626</v>
      </c>
      <c r="AA907" s="1">
        <v>201850000</v>
      </c>
      <c r="AB907" s="1">
        <v>34</v>
      </c>
    </row>
    <row r="908" spans="1:28" x14ac:dyDescent="0.15">
      <c r="A908" s="1">
        <v>2547</v>
      </c>
      <c r="B908" s="1" t="s">
        <v>7159</v>
      </c>
      <c r="J908" s="1" t="s">
        <v>1074</v>
      </c>
      <c r="L908" s="1" t="s">
        <v>1999</v>
      </c>
      <c r="M908" s="1" t="s">
        <v>1887</v>
      </c>
      <c r="N908" s="1" t="s">
        <v>1885</v>
      </c>
      <c r="P908" s="1" t="s">
        <v>916</v>
      </c>
      <c r="Q908" s="3">
        <v>0</v>
      </c>
      <c r="S908" s="23" t="s">
        <v>5949</v>
      </c>
      <c r="T908" s="23" t="s">
        <v>4931</v>
      </c>
      <c r="U908" s="3">
        <v>34</v>
      </c>
      <c r="W908" s="45" t="str">
        <f>HYPERLINK("http://ictvonline.org/taxonomy/p/taxonomy-history?taxnode_id=201852093","ICTVonline=201852093")</f>
        <v>ICTVonline=201852093</v>
      </c>
      <c r="AA908" s="1">
        <v>201850000</v>
      </c>
      <c r="AB908" s="1">
        <v>34</v>
      </c>
    </row>
    <row r="909" spans="1:28" x14ac:dyDescent="0.15">
      <c r="A909" s="1">
        <v>2549</v>
      </c>
      <c r="B909" s="1" t="s">
        <v>7159</v>
      </c>
      <c r="J909" s="1" t="s">
        <v>1074</v>
      </c>
      <c r="L909" s="1" t="s">
        <v>1999</v>
      </c>
      <c r="M909" s="1" t="s">
        <v>1887</v>
      </c>
      <c r="N909" s="1" t="s">
        <v>1885</v>
      </c>
      <c r="P909" s="1" t="s">
        <v>5196</v>
      </c>
      <c r="Q909" s="3">
        <v>0</v>
      </c>
      <c r="S909" s="23" t="s">
        <v>5949</v>
      </c>
      <c r="T909" s="23" t="s">
        <v>4931</v>
      </c>
      <c r="U909" s="3">
        <v>34</v>
      </c>
      <c r="W909" s="45" t="str">
        <f>HYPERLINK("http://ictvonline.org/taxonomy/p/taxonomy-history?taxnode_id=201855627","ICTVonline=201855627")</f>
        <v>ICTVonline=201855627</v>
      </c>
      <c r="AA909" s="1">
        <v>201850000</v>
      </c>
      <c r="AB909" s="1">
        <v>34</v>
      </c>
    </row>
    <row r="910" spans="1:28" x14ac:dyDescent="0.15">
      <c r="A910" s="1">
        <v>2553</v>
      </c>
      <c r="B910" s="1" t="s">
        <v>7159</v>
      </c>
      <c r="J910" s="1" t="s">
        <v>1074</v>
      </c>
      <c r="L910" s="1" t="s">
        <v>1999</v>
      </c>
      <c r="M910" s="1" t="s">
        <v>1887</v>
      </c>
      <c r="N910" s="1" t="s">
        <v>1886</v>
      </c>
      <c r="P910" s="1" t="s">
        <v>3652</v>
      </c>
      <c r="Q910" s="3">
        <v>0</v>
      </c>
      <c r="S910" s="23" t="s">
        <v>5949</v>
      </c>
      <c r="T910" s="23" t="s">
        <v>4931</v>
      </c>
      <c r="U910" s="3">
        <v>34</v>
      </c>
      <c r="W910" s="45" t="str">
        <f>HYPERLINK("http://ictvonline.org/taxonomy/p/taxonomy-history?taxnode_id=201852095","ICTVonline=201852095")</f>
        <v>ICTVonline=201852095</v>
      </c>
      <c r="AA910" s="1">
        <v>201850000</v>
      </c>
      <c r="AB910" s="1">
        <v>34</v>
      </c>
    </row>
    <row r="911" spans="1:28" x14ac:dyDescent="0.15">
      <c r="A911" s="1">
        <v>2555</v>
      </c>
      <c r="B911" s="1" t="s">
        <v>7159</v>
      </c>
      <c r="J911" s="1" t="s">
        <v>1074</v>
      </c>
      <c r="L911" s="1" t="s">
        <v>1999</v>
      </c>
      <c r="M911" s="1" t="s">
        <v>1887</v>
      </c>
      <c r="N911" s="1" t="s">
        <v>1886</v>
      </c>
      <c r="P911" s="1" t="s">
        <v>917</v>
      </c>
      <c r="Q911" s="3">
        <v>0</v>
      </c>
      <c r="S911" s="23" t="s">
        <v>5949</v>
      </c>
      <c r="T911" s="23" t="s">
        <v>4931</v>
      </c>
      <c r="U911" s="3">
        <v>34</v>
      </c>
      <c r="W911" s="45" t="str">
        <f>HYPERLINK("http://ictvonline.org/taxonomy/p/taxonomy-history?taxnode_id=201852096","ICTVonline=201852096")</f>
        <v>ICTVonline=201852096</v>
      </c>
      <c r="AA911" s="1">
        <v>201850000</v>
      </c>
      <c r="AB911" s="1">
        <v>34</v>
      </c>
    </row>
    <row r="912" spans="1:28" x14ac:dyDescent="0.15">
      <c r="A912" s="1">
        <v>2557</v>
      </c>
      <c r="B912" s="1" t="s">
        <v>7159</v>
      </c>
      <c r="J912" s="1" t="s">
        <v>1074</v>
      </c>
      <c r="L912" s="1" t="s">
        <v>1999</v>
      </c>
      <c r="M912" s="1" t="s">
        <v>1887</v>
      </c>
      <c r="N912" s="1" t="s">
        <v>1886</v>
      </c>
      <c r="P912" s="1" t="s">
        <v>918</v>
      </c>
      <c r="Q912" s="3">
        <v>0</v>
      </c>
      <c r="S912" s="23" t="s">
        <v>5949</v>
      </c>
      <c r="T912" s="23" t="s">
        <v>4931</v>
      </c>
      <c r="U912" s="3">
        <v>34</v>
      </c>
      <c r="W912" s="45" t="str">
        <f>HYPERLINK("http://ictvonline.org/taxonomy/p/taxonomy-history?taxnode_id=201852097","ICTVonline=201852097")</f>
        <v>ICTVonline=201852097</v>
      </c>
      <c r="AA912" s="1">
        <v>201850000</v>
      </c>
      <c r="AB912" s="1">
        <v>34</v>
      </c>
    </row>
    <row r="913" spans="1:28" x14ac:dyDescent="0.15">
      <c r="A913" s="1">
        <v>2559</v>
      </c>
      <c r="B913" s="1" t="s">
        <v>7159</v>
      </c>
      <c r="J913" s="1" t="s">
        <v>1074</v>
      </c>
      <c r="L913" s="1" t="s">
        <v>1999</v>
      </c>
      <c r="M913" s="1" t="s">
        <v>1887</v>
      </c>
      <c r="N913" s="1" t="s">
        <v>1886</v>
      </c>
      <c r="P913" s="1" t="s">
        <v>919</v>
      </c>
      <c r="Q913" s="3">
        <v>0</v>
      </c>
      <c r="S913" s="23" t="s">
        <v>5949</v>
      </c>
      <c r="T913" s="23" t="s">
        <v>4931</v>
      </c>
      <c r="U913" s="3">
        <v>34</v>
      </c>
      <c r="W913" s="45" t="str">
        <f>HYPERLINK("http://ictvonline.org/taxonomy/p/taxonomy-history?taxnode_id=201852098","ICTVonline=201852098")</f>
        <v>ICTVonline=201852098</v>
      </c>
      <c r="AA913" s="1">
        <v>201850000</v>
      </c>
      <c r="AB913" s="1">
        <v>34</v>
      </c>
    </row>
    <row r="914" spans="1:28" x14ac:dyDescent="0.15">
      <c r="A914" s="1">
        <v>2561</v>
      </c>
      <c r="B914" s="1" t="s">
        <v>7159</v>
      </c>
      <c r="J914" s="1" t="s">
        <v>1074</v>
      </c>
      <c r="L914" s="1" t="s">
        <v>1999</v>
      </c>
      <c r="M914" s="1" t="s">
        <v>1887</v>
      </c>
      <c r="N914" s="1" t="s">
        <v>1886</v>
      </c>
      <c r="P914" s="1" t="s">
        <v>580</v>
      </c>
      <c r="Q914" s="3">
        <v>0</v>
      </c>
      <c r="S914" s="23" t="s">
        <v>5949</v>
      </c>
      <c r="T914" s="23" t="s">
        <v>4931</v>
      </c>
      <c r="U914" s="3">
        <v>34</v>
      </c>
      <c r="W914" s="45" t="str">
        <f>HYPERLINK("http://ictvonline.org/taxonomy/p/taxonomy-history?taxnode_id=201852099","ICTVonline=201852099")</f>
        <v>ICTVonline=201852099</v>
      </c>
      <c r="AA914" s="1">
        <v>201850000</v>
      </c>
      <c r="AB914" s="1">
        <v>34</v>
      </c>
    </row>
    <row r="915" spans="1:28" x14ac:dyDescent="0.15">
      <c r="A915" s="1">
        <v>2563</v>
      </c>
      <c r="B915" s="1" t="s">
        <v>7159</v>
      </c>
      <c r="J915" s="1" t="s">
        <v>1074</v>
      </c>
      <c r="L915" s="1" t="s">
        <v>1999</v>
      </c>
      <c r="M915" s="1" t="s">
        <v>1887</v>
      </c>
      <c r="N915" s="1" t="s">
        <v>1886</v>
      </c>
      <c r="P915" s="1" t="s">
        <v>581</v>
      </c>
      <c r="Q915" s="3">
        <v>0</v>
      </c>
      <c r="S915" s="23" t="s">
        <v>5949</v>
      </c>
      <c r="T915" s="23" t="s">
        <v>4931</v>
      </c>
      <c r="U915" s="3">
        <v>34</v>
      </c>
      <c r="W915" s="45" t="str">
        <f>HYPERLINK("http://ictvonline.org/taxonomy/p/taxonomy-history?taxnode_id=201852100","ICTVonline=201852100")</f>
        <v>ICTVonline=201852100</v>
      </c>
      <c r="AA915" s="1">
        <v>201850000</v>
      </c>
      <c r="AB915" s="1">
        <v>34</v>
      </c>
    </row>
    <row r="916" spans="1:28" x14ac:dyDescent="0.15">
      <c r="A916" s="1">
        <v>2565</v>
      </c>
      <c r="B916" s="1" t="s">
        <v>7159</v>
      </c>
      <c r="J916" s="1" t="s">
        <v>1074</v>
      </c>
      <c r="L916" s="1" t="s">
        <v>1999</v>
      </c>
      <c r="M916" s="1" t="s">
        <v>1887</v>
      </c>
      <c r="N916" s="1" t="s">
        <v>1886</v>
      </c>
      <c r="P916" s="1" t="s">
        <v>582</v>
      </c>
      <c r="Q916" s="3">
        <v>0</v>
      </c>
      <c r="S916" s="23" t="s">
        <v>5949</v>
      </c>
      <c r="T916" s="23" t="s">
        <v>4931</v>
      </c>
      <c r="U916" s="3">
        <v>34</v>
      </c>
      <c r="W916" s="45" t="str">
        <f>HYPERLINK("http://ictvonline.org/taxonomy/p/taxonomy-history?taxnode_id=201852101","ICTVonline=201852101")</f>
        <v>ICTVonline=201852101</v>
      </c>
      <c r="AA916" s="1">
        <v>201850000</v>
      </c>
      <c r="AB916" s="1">
        <v>34</v>
      </c>
    </row>
    <row r="917" spans="1:28" x14ac:dyDescent="0.15">
      <c r="A917" s="1">
        <v>2567</v>
      </c>
      <c r="B917" s="1" t="s">
        <v>7159</v>
      </c>
      <c r="J917" s="1" t="s">
        <v>1074</v>
      </c>
      <c r="L917" s="1" t="s">
        <v>1999</v>
      </c>
      <c r="M917" s="1" t="s">
        <v>1887</v>
      </c>
      <c r="N917" s="1" t="s">
        <v>1886</v>
      </c>
      <c r="P917" s="1" t="s">
        <v>583</v>
      </c>
      <c r="Q917" s="3">
        <v>0</v>
      </c>
      <c r="S917" s="23" t="s">
        <v>5949</v>
      </c>
      <c r="T917" s="23" t="s">
        <v>4931</v>
      </c>
      <c r="U917" s="3">
        <v>34</v>
      </c>
      <c r="W917" s="45" t="str">
        <f>HYPERLINK("http://ictvonline.org/taxonomy/p/taxonomy-history?taxnode_id=201852102","ICTVonline=201852102")</f>
        <v>ICTVonline=201852102</v>
      </c>
      <c r="AA917" s="1">
        <v>201850000</v>
      </c>
      <c r="AB917" s="1">
        <v>34</v>
      </c>
    </row>
    <row r="918" spans="1:28" x14ac:dyDescent="0.15">
      <c r="A918" s="1">
        <v>2569</v>
      </c>
      <c r="B918" s="1" t="s">
        <v>7159</v>
      </c>
      <c r="J918" s="1" t="s">
        <v>1074</v>
      </c>
      <c r="L918" s="1" t="s">
        <v>1999</v>
      </c>
      <c r="M918" s="1" t="s">
        <v>1887</v>
      </c>
      <c r="N918" s="1" t="s">
        <v>1886</v>
      </c>
      <c r="P918" s="1" t="s">
        <v>584</v>
      </c>
      <c r="Q918" s="3">
        <v>0</v>
      </c>
      <c r="S918" s="23" t="s">
        <v>5949</v>
      </c>
      <c r="T918" s="23" t="s">
        <v>4931</v>
      </c>
      <c r="U918" s="3">
        <v>34</v>
      </c>
      <c r="W918" s="45" t="str">
        <f>HYPERLINK("http://ictvonline.org/taxonomy/p/taxonomy-history?taxnode_id=201852103","ICTVonline=201852103")</f>
        <v>ICTVonline=201852103</v>
      </c>
      <c r="AA918" s="1">
        <v>201850000</v>
      </c>
      <c r="AB918" s="1">
        <v>34</v>
      </c>
    </row>
    <row r="919" spans="1:28" x14ac:dyDescent="0.15">
      <c r="A919" s="1">
        <v>2571</v>
      </c>
      <c r="B919" s="1" t="s">
        <v>7159</v>
      </c>
      <c r="J919" s="1" t="s">
        <v>1074</v>
      </c>
      <c r="L919" s="1" t="s">
        <v>1999</v>
      </c>
      <c r="M919" s="1" t="s">
        <v>1887</v>
      </c>
      <c r="N919" s="1" t="s">
        <v>1886</v>
      </c>
      <c r="P919" s="1" t="s">
        <v>2195</v>
      </c>
      <c r="Q919" s="3">
        <v>0</v>
      </c>
      <c r="S919" s="23" t="s">
        <v>5949</v>
      </c>
      <c r="T919" s="23" t="s">
        <v>4931</v>
      </c>
      <c r="U919" s="3">
        <v>34</v>
      </c>
      <c r="W919" s="45" t="str">
        <f>HYPERLINK("http://ictvonline.org/taxonomy/p/taxonomy-history?taxnode_id=201852104","ICTVonline=201852104")</f>
        <v>ICTVonline=201852104</v>
      </c>
      <c r="AA919" s="1">
        <v>201850000</v>
      </c>
      <c r="AB919" s="1">
        <v>34</v>
      </c>
    </row>
    <row r="920" spans="1:28" x14ac:dyDescent="0.15">
      <c r="A920" s="1">
        <v>2573</v>
      </c>
      <c r="B920" s="1" t="s">
        <v>7159</v>
      </c>
      <c r="J920" s="1" t="s">
        <v>1074</v>
      </c>
      <c r="L920" s="1" t="s">
        <v>1999</v>
      </c>
      <c r="M920" s="1" t="s">
        <v>1887</v>
      </c>
      <c r="N920" s="1" t="s">
        <v>1886</v>
      </c>
      <c r="P920" s="1" t="s">
        <v>585</v>
      </c>
      <c r="Q920" s="3">
        <v>0</v>
      </c>
      <c r="S920" s="23" t="s">
        <v>5949</v>
      </c>
      <c r="T920" s="23" t="s">
        <v>4931</v>
      </c>
      <c r="U920" s="3">
        <v>34</v>
      </c>
      <c r="W920" s="45" t="str">
        <f>HYPERLINK("http://ictvonline.org/taxonomy/p/taxonomy-history?taxnode_id=201852105","ICTVonline=201852105")</f>
        <v>ICTVonline=201852105</v>
      </c>
      <c r="AA920" s="1">
        <v>201850000</v>
      </c>
      <c r="AB920" s="1">
        <v>34</v>
      </c>
    </row>
    <row r="921" spans="1:28" x14ac:dyDescent="0.15">
      <c r="A921" s="1">
        <v>2575</v>
      </c>
      <c r="B921" s="1" t="s">
        <v>7159</v>
      </c>
      <c r="J921" s="1" t="s">
        <v>1074</v>
      </c>
      <c r="L921" s="1" t="s">
        <v>1999</v>
      </c>
      <c r="M921" s="1" t="s">
        <v>1887</v>
      </c>
      <c r="N921" s="1" t="s">
        <v>1886</v>
      </c>
      <c r="P921" s="1" t="s">
        <v>586</v>
      </c>
      <c r="Q921" s="3">
        <v>0</v>
      </c>
      <c r="S921" s="23" t="s">
        <v>5949</v>
      </c>
      <c r="T921" s="23" t="s">
        <v>4931</v>
      </c>
      <c r="U921" s="3">
        <v>34</v>
      </c>
      <c r="W921" s="45" t="str">
        <f>HYPERLINK("http://ictvonline.org/taxonomy/p/taxonomy-history?taxnode_id=201852106","ICTVonline=201852106")</f>
        <v>ICTVonline=201852106</v>
      </c>
      <c r="AA921" s="1">
        <v>201850000</v>
      </c>
      <c r="AB921" s="1">
        <v>34</v>
      </c>
    </row>
    <row r="922" spans="1:28" x14ac:dyDescent="0.15">
      <c r="A922" s="1">
        <v>2577</v>
      </c>
      <c r="B922" s="1" t="s">
        <v>7159</v>
      </c>
      <c r="J922" s="1" t="s">
        <v>1074</v>
      </c>
      <c r="L922" s="1" t="s">
        <v>1999</v>
      </c>
      <c r="M922" s="1" t="s">
        <v>1887</v>
      </c>
      <c r="N922" s="1" t="s">
        <v>1886</v>
      </c>
      <c r="P922" s="1" t="s">
        <v>587</v>
      </c>
      <c r="Q922" s="3">
        <v>0</v>
      </c>
      <c r="S922" s="23" t="s">
        <v>5949</v>
      </c>
      <c r="T922" s="23" t="s">
        <v>4931</v>
      </c>
      <c r="U922" s="3">
        <v>34</v>
      </c>
      <c r="W922" s="45" t="str">
        <f>HYPERLINK("http://ictvonline.org/taxonomy/p/taxonomy-history?taxnode_id=201852107","ICTVonline=201852107")</f>
        <v>ICTVonline=201852107</v>
      </c>
      <c r="AA922" s="1">
        <v>201850000</v>
      </c>
      <c r="AB922" s="1">
        <v>34</v>
      </c>
    </row>
    <row r="923" spans="1:28" x14ac:dyDescent="0.15">
      <c r="A923" s="1">
        <v>2579</v>
      </c>
      <c r="B923" s="1" t="s">
        <v>7159</v>
      </c>
      <c r="J923" s="1" t="s">
        <v>1074</v>
      </c>
      <c r="L923" s="1" t="s">
        <v>1999</v>
      </c>
      <c r="M923" s="1" t="s">
        <v>1887</v>
      </c>
      <c r="N923" s="1" t="s">
        <v>1886</v>
      </c>
      <c r="P923" s="1" t="s">
        <v>1727</v>
      </c>
      <c r="Q923" s="3">
        <v>0</v>
      </c>
      <c r="S923" s="23" t="s">
        <v>5949</v>
      </c>
      <c r="T923" s="23" t="s">
        <v>4931</v>
      </c>
      <c r="U923" s="3">
        <v>34</v>
      </c>
      <c r="W923" s="45" t="str">
        <f>HYPERLINK("http://ictvonline.org/taxonomy/p/taxonomy-history?taxnode_id=201852108","ICTVonline=201852108")</f>
        <v>ICTVonline=201852108</v>
      </c>
      <c r="AA923" s="1">
        <v>201850000</v>
      </c>
      <c r="AB923" s="1">
        <v>34</v>
      </c>
    </row>
    <row r="924" spans="1:28" x14ac:dyDescent="0.15">
      <c r="A924" s="1">
        <v>2581</v>
      </c>
      <c r="B924" s="1" t="s">
        <v>7159</v>
      </c>
      <c r="J924" s="1" t="s">
        <v>1074</v>
      </c>
      <c r="L924" s="1" t="s">
        <v>1999</v>
      </c>
      <c r="M924" s="1" t="s">
        <v>1887</v>
      </c>
      <c r="N924" s="1" t="s">
        <v>1886</v>
      </c>
      <c r="P924" s="1" t="s">
        <v>1728</v>
      </c>
      <c r="Q924" s="3">
        <v>0</v>
      </c>
      <c r="S924" s="23" t="s">
        <v>5949</v>
      </c>
      <c r="T924" s="23" t="s">
        <v>4931</v>
      </c>
      <c r="U924" s="3">
        <v>34</v>
      </c>
      <c r="W924" s="45" t="str">
        <f>HYPERLINK("http://ictvonline.org/taxonomy/p/taxonomy-history?taxnode_id=201852109","ICTVonline=201852109")</f>
        <v>ICTVonline=201852109</v>
      </c>
      <c r="AA924" s="1">
        <v>201850000</v>
      </c>
      <c r="AB924" s="1">
        <v>34</v>
      </c>
    </row>
    <row r="925" spans="1:28" x14ac:dyDescent="0.15">
      <c r="A925" s="1">
        <v>2583</v>
      </c>
      <c r="B925" s="1" t="s">
        <v>7159</v>
      </c>
      <c r="J925" s="1" t="s">
        <v>1074</v>
      </c>
      <c r="L925" s="1" t="s">
        <v>1999</v>
      </c>
      <c r="M925" s="1" t="s">
        <v>1887</v>
      </c>
      <c r="N925" s="1" t="s">
        <v>1886</v>
      </c>
      <c r="P925" s="1" t="s">
        <v>1729</v>
      </c>
      <c r="Q925" s="3">
        <v>0</v>
      </c>
      <c r="S925" s="23" t="s">
        <v>5949</v>
      </c>
      <c r="T925" s="23" t="s">
        <v>4931</v>
      </c>
      <c r="U925" s="3">
        <v>34</v>
      </c>
      <c r="W925" s="45" t="str">
        <f>HYPERLINK("http://ictvonline.org/taxonomy/p/taxonomy-history?taxnode_id=201852110","ICTVonline=201852110")</f>
        <v>ICTVonline=201852110</v>
      </c>
      <c r="AA925" s="1">
        <v>201850000</v>
      </c>
      <c r="AB925" s="1">
        <v>34</v>
      </c>
    </row>
    <row r="926" spans="1:28" x14ac:dyDescent="0.15">
      <c r="A926" s="1">
        <v>2585</v>
      </c>
      <c r="B926" s="1" t="s">
        <v>7159</v>
      </c>
      <c r="J926" s="1" t="s">
        <v>1074</v>
      </c>
      <c r="L926" s="1" t="s">
        <v>1999</v>
      </c>
      <c r="M926" s="1" t="s">
        <v>1887</v>
      </c>
      <c r="N926" s="1" t="s">
        <v>1886</v>
      </c>
      <c r="P926" s="1" t="s">
        <v>1730</v>
      </c>
      <c r="Q926" s="3">
        <v>0</v>
      </c>
      <c r="S926" s="23" t="s">
        <v>5949</v>
      </c>
      <c r="T926" s="23" t="s">
        <v>4931</v>
      </c>
      <c r="U926" s="3">
        <v>34</v>
      </c>
      <c r="W926" s="45" t="str">
        <f>HYPERLINK("http://ictvonline.org/taxonomy/p/taxonomy-history?taxnode_id=201852111","ICTVonline=201852111")</f>
        <v>ICTVonline=201852111</v>
      </c>
      <c r="AA926" s="1">
        <v>201850000</v>
      </c>
      <c r="AB926" s="1">
        <v>34</v>
      </c>
    </row>
    <row r="927" spans="1:28" x14ac:dyDescent="0.15">
      <c r="A927" s="1">
        <v>2587</v>
      </c>
      <c r="B927" s="1" t="s">
        <v>7159</v>
      </c>
      <c r="J927" s="1" t="s">
        <v>1074</v>
      </c>
      <c r="L927" s="1" t="s">
        <v>1999</v>
      </c>
      <c r="M927" s="1" t="s">
        <v>1887</v>
      </c>
      <c r="N927" s="1" t="s">
        <v>1886</v>
      </c>
      <c r="P927" s="1" t="s">
        <v>1731</v>
      </c>
      <c r="Q927" s="3">
        <v>0</v>
      </c>
      <c r="S927" s="23" t="s">
        <v>5949</v>
      </c>
      <c r="T927" s="23" t="s">
        <v>4931</v>
      </c>
      <c r="U927" s="3">
        <v>34</v>
      </c>
      <c r="W927" s="45" t="str">
        <f>HYPERLINK("http://ictvonline.org/taxonomy/p/taxonomy-history?taxnode_id=201852112","ICTVonline=201852112")</f>
        <v>ICTVonline=201852112</v>
      </c>
      <c r="AA927" s="1">
        <v>201850000</v>
      </c>
      <c r="AB927" s="1">
        <v>34</v>
      </c>
    </row>
    <row r="928" spans="1:28" x14ac:dyDescent="0.15">
      <c r="A928" s="1">
        <v>2589</v>
      </c>
      <c r="B928" s="1" t="s">
        <v>7159</v>
      </c>
      <c r="J928" s="1" t="s">
        <v>1074</v>
      </c>
      <c r="L928" s="1" t="s">
        <v>1999</v>
      </c>
      <c r="M928" s="1" t="s">
        <v>1887</v>
      </c>
      <c r="N928" s="1" t="s">
        <v>1886</v>
      </c>
      <c r="P928" s="1" t="s">
        <v>1732</v>
      </c>
      <c r="Q928" s="3">
        <v>0</v>
      </c>
      <c r="S928" s="23" t="s">
        <v>5949</v>
      </c>
      <c r="T928" s="23" t="s">
        <v>4931</v>
      </c>
      <c r="U928" s="3">
        <v>34</v>
      </c>
      <c r="W928" s="45" t="str">
        <f>HYPERLINK("http://ictvonline.org/taxonomy/p/taxonomy-history?taxnode_id=201852113","ICTVonline=201852113")</f>
        <v>ICTVonline=201852113</v>
      </c>
      <c r="AA928" s="1">
        <v>201850000</v>
      </c>
      <c r="AB928" s="1">
        <v>34</v>
      </c>
    </row>
    <row r="929" spans="1:28" x14ac:dyDescent="0.15">
      <c r="A929" s="1">
        <v>2591</v>
      </c>
      <c r="B929" s="1" t="s">
        <v>7159</v>
      </c>
      <c r="J929" s="1" t="s">
        <v>1074</v>
      </c>
      <c r="L929" s="1" t="s">
        <v>1999</v>
      </c>
      <c r="M929" s="1" t="s">
        <v>1887</v>
      </c>
      <c r="N929" s="1" t="s">
        <v>1886</v>
      </c>
      <c r="P929" s="1" t="s">
        <v>1733</v>
      </c>
      <c r="Q929" s="3">
        <v>0</v>
      </c>
      <c r="S929" s="23" t="s">
        <v>5949</v>
      </c>
      <c r="T929" s="23" t="s">
        <v>4931</v>
      </c>
      <c r="U929" s="3">
        <v>34</v>
      </c>
      <c r="W929" s="45" t="str">
        <f>HYPERLINK("http://ictvonline.org/taxonomy/p/taxonomy-history?taxnode_id=201852114","ICTVonline=201852114")</f>
        <v>ICTVonline=201852114</v>
      </c>
      <c r="AA929" s="1">
        <v>201850000</v>
      </c>
      <c r="AB929" s="1">
        <v>34</v>
      </c>
    </row>
    <row r="930" spans="1:28" x14ac:dyDescent="0.15">
      <c r="A930" s="1">
        <v>2593</v>
      </c>
      <c r="B930" s="1" t="s">
        <v>7159</v>
      </c>
      <c r="J930" s="1" t="s">
        <v>1074</v>
      </c>
      <c r="L930" s="1" t="s">
        <v>1999</v>
      </c>
      <c r="M930" s="1" t="s">
        <v>1887</v>
      </c>
      <c r="N930" s="1" t="s">
        <v>1886</v>
      </c>
      <c r="P930" s="1" t="s">
        <v>1734</v>
      </c>
      <c r="Q930" s="3">
        <v>0</v>
      </c>
      <c r="S930" s="23" t="s">
        <v>5949</v>
      </c>
      <c r="T930" s="23" t="s">
        <v>4931</v>
      </c>
      <c r="U930" s="3">
        <v>34</v>
      </c>
      <c r="W930" s="45" t="str">
        <f>HYPERLINK("http://ictvonline.org/taxonomy/p/taxonomy-history?taxnode_id=201852115","ICTVonline=201852115")</f>
        <v>ICTVonline=201852115</v>
      </c>
      <c r="AA930" s="1">
        <v>201850000</v>
      </c>
      <c r="AB930" s="1">
        <v>34</v>
      </c>
    </row>
    <row r="931" spans="1:28" x14ac:dyDescent="0.15">
      <c r="A931" s="1">
        <v>2595</v>
      </c>
      <c r="B931" s="1" t="s">
        <v>7159</v>
      </c>
      <c r="J931" s="1" t="s">
        <v>1074</v>
      </c>
      <c r="L931" s="1" t="s">
        <v>1999</v>
      </c>
      <c r="M931" s="1" t="s">
        <v>1887</v>
      </c>
      <c r="N931" s="1" t="s">
        <v>1886</v>
      </c>
      <c r="P931" s="1" t="s">
        <v>1735</v>
      </c>
      <c r="Q931" s="3">
        <v>0</v>
      </c>
      <c r="S931" s="23" t="s">
        <v>5949</v>
      </c>
      <c r="T931" s="23" t="s">
        <v>4931</v>
      </c>
      <c r="U931" s="3">
        <v>34</v>
      </c>
      <c r="W931" s="45" t="str">
        <f>HYPERLINK("http://ictvonline.org/taxonomy/p/taxonomy-history?taxnode_id=201852116","ICTVonline=201852116")</f>
        <v>ICTVonline=201852116</v>
      </c>
      <c r="AA931" s="1">
        <v>201850000</v>
      </c>
      <c r="AB931" s="1">
        <v>34</v>
      </c>
    </row>
    <row r="932" spans="1:28" x14ac:dyDescent="0.15">
      <c r="A932" s="1">
        <v>2597</v>
      </c>
      <c r="B932" s="1" t="s">
        <v>7159</v>
      </c>
      <c r="J932" s="1" t="s">
        <v>1074</v>
      </c>
      <c r="L932" s="1" t="s">
        <v>1999</v>
      </c>
      <c r="M932" s="1" t="s">
        <v>1887</v>
      </c>
      <c r="N932" s="1" t="s">
        <v>1886</v>
      </c>
      <c r="P932" s="1" t="s">
        <v>1736</v>
      </c>
      <c r="Q932" s="3">
        <v>0</v>
      </c>
      <c r="S932" s="23" t="s">
        <v>5949</v>
      </c>
      <c r="T932" s="23" t="s">
        <v>4931</v>
      </c>
      <c r="U932" s="3">
        <v>34</v>
      </c>
      <c r="W932" s="45" t="str">
        <f>HYPERLINK("http://ictvonline.org/taxonomy/p/taxonomy-history?taxnode_id=201852117","ICTVonline=201852117")</f>
        <v>ICTVonline=201852117</v>
      </c>
      <c r="AA932" s="1">
        <v>201850000</v>
      </c>
      <c r="AB932" s="1">
        <v>34</v>
      </c>
    </row>
    <row r="933" spans="1:28" x14ac:dyDescent="0.15">
      <c r="A933" s="1">
        <v>2599</v>
      </c>
      <c r="B933" s="1" t="s">
        <v>7159</v>
      </c>
      <c r="J933" s="1" t="s">
        <v>1074</v>
      </c>
      <c r="L933" s="1" t="s">
        <v>1999</v>
      </c>
      <c r="M933" s="1" t="s">
        <v>1887</v>
      </c>
      <c r="N933" s="1" t="s">
        <v>1886</v>
      </c>
      <c r="P933" s="1" t="s">
        <v>1737</v>
      </c>
      <c r="Q933" s="3">
        <v>0</v>
      </c>
      <c r="S933" s="23" t="s">
        <v>5949</v>
      </c>
      <c r="T933" s="23" t="s">
        <v>4931</v>
      </c>
      <c r="U933" s="3">
        <v>34</v>
      </c>
      <c r="W933" s="45" t="str">
        <f>HYPERLINK("http://ictvonline.org/taxonomy/p/taxonomy-history?taxnode_id=201852118","ICTVonline=201852118")</f>
        <v>ICTVonline=201852118</v>
      </c>
      <c r="AA933" s="1">
        <v>201850000</v>
      </c>
      <c r="AB933" s="1">
        <v>34</v>
      </c>
    </row>
    <row r="934" spans="1:28" x14ac:dyDescent="0.15">
      <c r="A934" s="1">
        <v>2601</v>
      </c>
      <c r="B934" s="1" t="s">
        <v>7159</v>
      </c>
      <c r="J934" s="1" t="s">
        <v>1074</v>
      </c>
      <c r="L934" s="1" t="s">
        <v>1999</v>
      </c>
      <c r="M934" s="1" t="s">
        <v>1887</v>
      </c>
      <c r="N934" s="1" t="s">
        <v>1886</v>
      </c>
      <c r="P934" s="1" t="s">
        <v>1738</v>
      </c>
      <c r="Q934" s="3">
        <v>0</v>
      </c>
      <c r="S934" s="23" t="s">
        <v>5949</v>
      </c>
      <c r="T934" s="23" t="s">
        <v>4931</v>
      </c>
      <c r="U934" s="3">
        <v>34</v>
      </c>
      <c r="W934" s="45" t="str">
        <f>HYPERLINK("http://ictvonline.org/taxonomy/p/taxonomy-history?taxnode_id=201852119","ICTVonline=201852119")</f>
        <v>ICTVonline=201852119</v>
      </c>
      <c r="AA934" s="1">
        <v>201850000</v>
      </c>
      <c r="AB934" s="1">
        <v>34</v>
      </c>
    </row>
    <row r="935" spans="1:28" x14ac:dyDescent="0.15">
      <c r="A935" s="1">
        <v>2603</v>
      </c>
      <c r="B935" s="1" t="s">
        <v>7159</v>
      </c>
      <c r="J935" s="1" t="s">
        <v>1074</v>
      </c>
      <c r="L935" s="1" t="s">
        <v>1999</v>
      </c>
      <c r="M935" s="1" t="s">
        <v>1887</v>
      </c>
      <c r="N935" s="1" t="s">
        <v>1886</v>
      </c>
      <c r="P935" s="1" t="s">
        <v>1739</v>
      </c>
      <c r="Q935" s="3">
        <v>0</v>
      </c>
      <c r="S935" s="23" t="s">
        <v>5949</v>
      </c>
      <c r="T935" s="23" t="s">
        <v>4931</v>
      </c>
      <c r="U935" s="3">
        <v>34</v>
      </c>
      <c r="W935" s="45" t="str">
        <f>HYPERLINK("http://ictvonline.org/taxonomy/p/taxonomy-history?taxnode_id=201852120","ICTVonline=201852120")</f>
        <v>ICTVonline=201852120</v>
      </c>
      <c r="AA935" s="1">
        <v>201850000</v>
      </c>
      <c r="AB935" s="1">
        <v>34</v>
      </c>
    </row>
    <row r="936" spans="1:28" x14ac:dyDescent="0.15">
      <c r="A936" s="1">
        <v>2605</v>
      </c>
      <c r="B936" s="1" t="s">
        <v>7159</v>
      </c>
      <c r="J936" s="1" t="s">
        <v>1074</v>
      </c>
      <c r="L936" s="1" t="s">
        <v>1999</v>
      </c>
      <c r="M936" s="1" t="s">
        <v>1887</v>
      </c>
      <c r="N936" s="1" t="s">
        <v>1886</v>
      </c>
      <c r="P936" s="1" t="s">
        <v>5</v>
      </c>
      <c r="Q936" s="3">
        <v>0</v>
      </c>
      <c r="S936" s="23" t="s">
        <v>5949</v>
      </c>
      <c r="T936" s="23" t="s">
        <v>4931</v>
      </c>
      <c r="U936" s="3">
        <v>34</v>
      </c>
      <c r="W936" s="45" t="str">
        <f>HYPERLINK("http://ictvonline.org/taxonomy/p/taxonomy-history?taxnode_id=201852121","ICTVonline=201852121")</f>
        <v>ICTVonline=201852121</v>
      </c>
      <c r="AA936" s="1">
        <v>201850000</v>
      </c>
      <c r="AB936" s="1">
        <v>34</v>
      </c>
    </row>
    <row r="937" spans="1:28" x14ac:dyDescent="0.15">
      <c r="A937" s="1">
        <v>2607</v>
      </c>
      <c r="B937" s="1" t="s">
        <v>7159</v>
      </c>
      <c r="J937" s="1" t="s">
        <v>1074</v>
      </c>
      <c r="L937" s="1" t="s">
        <v>1999</v>
      </c>
      <c r="M937" s="1" t="s">
        <v>1887</v>
      </c>
      <c r="N937" s="1" t="s">
        <v>1886</v>
      </c>
      <c r="P937" s="1" t="s">
        <v>3653</v>
      </c>
      <c r="Q937" s="3">
        <v>0</v>
      </c>
      <c r="S937" s="23" t="s">
        <v>5949</v>
      </c>
      <c r="T937" s="23" t="s">
        <v>4931</v>
      </c>
      <c r="U937" s="3">
        <v>34</v>
      </c>
      <c r="W937" s="45" t="str">
        <f>HYPERLINK("http://ictvonline.org/taxonomy/p/taxonomy-history?taxnode_id=201852122","ICTVonline=201852122")</f>
        <v>ICTVonline=201852122</v>
      </c>
      <c r="AA937" s="1">
        <v>201850000</v>
      </c>
      <c r="AB937" s="1">
        <v>34</v>
      </c>
    </row>
    <row r="938" spans="1:28" x14ac:dyDescent="0.15">
      <c r="A938" s="1">
        <v>2609</v>
      </c>
      <c r="B938" s="1" t="s">
        <v>7159</v>
      </c>
      <c r="J938" s="1" t="s">
        <v>1074</v>
      </c>
      <c r="L938" s="1" t="s">
        <v>1999</v>
      </c>
      <c r="M938" s="1" t="s">
        <v>1887</v>
      </c>
      <c r="N938" s="1" t="s">
        <v>1886</v>
      </c>
      <c r="P938" s="1" t="s">
        <v>1740</v>
      </c>
      <c r="Q938" s="3">
        <v>0</v>
      </c>
      <c r="S938" s="23" t="s">
        <v>5949</v>
      </c>
      <c r="T938" s="23" t="s">
        <v>4931</v>
      </c>
      <c r="U938" s="3">
        <v>34</v>
      </c>
      <c r="W938" s="45" t="str">
        <f>HYPERLINK("http://ictvonline.org/taxonomy/p/taxonomy-history?taxnode_id=201852123","ICTVonline=201852123")</f>
        <v>ICTVonline=201852123</v>
      </c>
      <c r="AA938" s="1">
        <v>201850000</v>
      </c>
      <c r="AB938" s="1">
        <v>34</v>
      </c>
    </row>
    <row r="939" spans="1:28" x14ac:dyDescent="0.15">
      <c r="A939" s="1">
        <v>2611</v>
      </c>
      <c r="B939" s="1" t="s">
        <v>7159</v>
      </c>
      <c r="J939" s="1" t="s">
        <v>1074</v>
      </c>
      <c r="L939" s="1" t="s">
        <v>1999</v>
      </c>
      <c r="M939" s="1" t="s">
        <v>1887</v>
      </c>
      <c r="N939" s="1" t="s">
        <v>1886</v>
      </c>
      <c r="P939" s="1" t="s">
        <v>1741</v>
      </c>
      <c r="Q939" s="3">
        <v>0</v>
      </c>
      <c r="S939" s="23" t="s">
        <v>5949</v>
      </c>
      <c r="T939" s="23" t="s">
        <v>4931</v>
      </c>
      <c r="U939" s="3">
        <v>34</v>
      </c>
      <c r="W939" s="45" t="str">
        <f>HYPERLINK("http://ictvonline.org/taxonomy/p/taxonomy-history?taxnode_id=201852124","ICTVonline=201852124")</f>
        <v>ICTVonline=201852124</v>
      </c>
      <c r="AA939" s="1">
        <v>201850000</v>
      </c>
      <c r="AB939" s="1">
        <v>34</v>
      </c>
    </row>
    <row r="940" spans="1:28" x14ac:dyDescent="0.15">
      <c r="A940" s="1">
        <v>2613</v>
      </c>
      <c r="B940" s="1" t="s">
        <v>7159</v>
      </c>
      <c r="J940" s="1" t="s">
        <v>1074</v>
      </c>
      <c r="L940" s="1" t="s">
        <v>1999</v>
      </c>
      <c r="M940" s="1" t="s">
        <v>1887</v>
      </c>
      <c r="N940" s="1" t="s">
        <v>1886</v>
      </c>
      <c r="P940" s="1" t="s">
        <v>1416</v>
      </c>
      <c r="Q940" s="3">
        <v>0</v>
      </c>
      <c r="S940" s="23" t="s">
        <v>5949</v>
      </c>
      <c r="T940" s="23" t="s">
        <v>4931</v>
      </c>
      <c r="U940" s="3">
        <v>34</v>
      </c>
      <c r="W940" s="45" t="str">
        <f>HYPERLINK("http://ictvonline.org/taxonomy/p/taxonomy-history?taxnode_id=201852125","ICTVonline=201852125")</f>
        <v>ICTVonline=201852125</v>
      </c>
      <c r="AA940" s="1">
        <v>201850000</v>
      </c>
      <c r="AB940" s="1">
        <v>34</v>
      </c>
    </row>
    <row r="941" spans="1:28" x14ac:dyDescent="0.15">
      <c r="A941" s="1">
        <v>2615</v>
      </c>
      <c r="B941" s="1" t="s">
        <v>7159</v>
      </c>
      <c r="J941" s="1" t="s">
        <v>1074</v>
      </c>
      <c r="L941" s="1" t="s">
        <v>1999</v>
      </c>
      <c r="M941" s="1" t="s">
        <v>1887</v>
      </c>
      <c r="N941" s="1" t="s">
        <v>1886</v>
      </c>
      <c r="P941" s="1" t="s">
        <v>1417</v>
      </c>
      <c r="Q941" s="3">
        <v>0</v>
      </c>
      <c r="S941" s="23" t="s">
        <v>5949</v>
      </c>
      <c r="T941" s="23" t="s">
        <v>4931</v>
      </c>
      <c r="U941" s="3">
        <v>34</v>
      </c>
      <c r="W941" s="45" t="str">
        <f>HYPERLINK("http://ictvonline.org/taxonomy/p/taxonomy-history?taxnode_id=201852126","ICTVonline=201852126")</f>
        <v>ICTVonline=201852126</v>
      </c>
      <c r="AA941" s="1">
        <v>201850000</v>
      </c>
      <c r="AB941" s="1">
        <v>34</v>
      </c>
    </row>
    <row r="942" spans="1:28" x14ac:dyDescent="0.15">
      <c r="A942" s="1">
        <v>2617</v>
      </c>
      <c r="B942" s="1" t="s">
        <v>7159</v>
      </c>
      <c r="J942" s="1" t="s">
        <v>1074</v>
      </c>
      <c r="L942" s="1" t="s">
        <v>1999</v>
      </c>
      <c r="M942" s="1" t="s">
        <v>1887</v>
      </c>
      <c r="N942" s="1" t="s">
        <v>1886</v>
      </c>
      <c r="P942" s="1" t="s">
        <v>1418</v>
      </c>
      <c r="Q942" s="3">
        <v>0</v>
      </c>
      <c r="S942" s="23" t="s">
        <v>5949</v>
      </c>
      <c r="T942" s="23" t="s">
        <v>4931</v>
      </c>
      <c r="U942" s="3">
        <v>34</v>
      </c>
      <c r="W942" s="45" t="str">
        <f>HYPERLINK("http://ictvonline.org/taxonomy/p/taxonomy-history?taxnode_id=201852127","ICTVonline=201852127")</f>
        <v>ICTVonline=201852127</v>
      </c>
      <c r="AA942" s="1">
        <v>201850000</v>
      </c>
      <c r="AB942" s="1">
        <v>34</v>
      </c>
    </row>
    <row r="943" spans="1:28" x14ac:dyDescent="0.15">
      <c r="A943" s="1">
        <v>2619</v>
      </c>
      <c r="B943" s="1" t="s">
        <v>7159</v>
      </c>
      <c r="J943" s="1" t="s">
        <v>1074</v>
      </c>
      <c r="L943" s="1" t="s">
        <v>1999</v>
      </c>
      <c r="M943" s="1" t="s">
        <v>1887</v>
      </c>
      <c r="N943" s="1" t="s">
        <v>1886</v>
      </c>
      <c r="P943" s="1" t="s">
        <v>5197</v>
      </c>
      <c r="Q943" s="3">
        <v>0</v>
      </c>
      <c r="S943" s="23" t="s">
        <v>5949</v>
      </c>
      <c r="T943" s="23" t="s">
        <v>4931</v>
      </c>
      <c r="U943" s="3">
        <v>34</v>
      </c>
      <c r="W943" s="45" t="str">
        <f>HYPERLINK("http://ictvonline.org/taxonomy/p/taxonomy-history?taxnode_id=201855628","ICTVonline=201855628")</f>
        <v>ICTVonline=201855628</v>
      </c>
      <c r="AA943" s="1">
        <v>201850000</v>
      </c>
      <c r="AB943" s="1">
        <v>34</v>
      </c>
    </row>
    <row r="944" spans="1:28" x14ac:dyDescent="0.15">
      <c r="A944" s="1">
        <v>2621</v>
      </c>
      <c r="B944" s="1" t="s">
        <v>7159</v>
      </c>
      <c r="J944" s="1" t="s">
        <v>1074</v>
      </c>
      <c r="L944" s="1" t="s">
        <v>1999</v>
      </c>
      <c r="M944" s="1" t="s">
        <v>1887</v>
      </c>
      <c r="N944" s="1" t="s">
        <v>1886</v>
      </c>
      <c r="P944" s="1" t="s">
        <v>1419</v>
      </c>
      <c r="Q944" s="3">
        <v>0</v>
      </c>
      <c r="S944" s="23" t="s">
        <v>5949</v>
      </c>
      <c r="T944" s="23" t="s">
        <v>4931</v>
      </c>
      <c r="U944" s="3">
        <v>34</v>
      </c>
      <c r="W944" s="45" t="str">
        <f>HYPERLINK("http://ictvonline.org/taxonomy/p/taxonomy-history?taxnode_id=201852128","ICTVonline=201852128")</f>
        <v>ICTVonline=201852128</v>
      </c>
      <c r="AA944" s="1">
        <v>201850000</v>
      </c>
      <c r="AB944" s="1">
        <v>34</v>
      </c>
    </row>
    <row r="945" spans="1:28" x14ac:dyDescent="0.15">
      <c r="A945" s="1">
        <v>2623</v>
      </c>
      <c r="B945" s="1" t="s">
        <v>7159</v>
      </c>
      <c r="J945" s="1" t="s">
        <v>1074</v>
      </c>
      <c r="L945" s="1" t="s">
        <v>1999</v>
      </c>
      <c r="M945" s="1" t="s">
        <v>1887</v>
      </c>
      <c r="N945" s="1" t="s">
        <v>1886</v>
      </c>
      <c r="P945" s="1" t="s">
        <v>1420</v>
      </c>
      <c r="Q945" s="3">
        <v>0</v>
      </c>
      <c r="S945" s="23" t="s">
        <v>5949</v>
      </c>
      <c r="T945" s="23" t="s">
        <v>4931</v>
      </c>
      <c r="U945" s="3">
        <v>34</v>
      </c>
      <c r="W945" s="45" t="str">
        <f>HYPERLINK("http://ictvonline.org/taxonomy/p/taxonomy-history?taxnode_id=201852129","ICTVonline=201852129")</f>
        <v>ICTVonline=201852129</v>
      </c>
      <c r="AA945" s="1">
        <v>201850000</v>
      </c>
      <c r="AB945" s="1">
        <v>34</v>
      </c>
    </row>
    <row r="946" spans="1:28" x14ac:dyDescent="0.15">
      <c r="A946" s="1">
        <v>2625</v>
      </c>
      <c r="B946" s="1" t="s">
        <v>7159</v>
      </c>
      <c r="J946" s="1" t="s">
        <v>1074</v>
      </c>
      <c r="L946" s="1" t="s">
        <v>1999</v>
      </c>
      <c r="M946" s="1" t="s">
        <v>1887</v>
      </c>
      <c r="N946" s="1" t="s">
        <v>1886</v>
      </c>
      <c r="P946" s="1" t="s">
        <v>5198</v>
      </c>
      <c r="Q946" s="3">
        <v>0</v>
      </c>
      <c r="S946" s="23" t="s">
        <v>5949</v>
      </c>
      <c r="T946" s="23" t="s">
        <v>4931</v>
      </c>
      <c r="U946" s="3">
        <v>34</v>
      </c>
      <c r="W946" s="45" t="str">
        <f>HYPERLINK("http://ictvonline.org/taxonomy/p/taxonomy-history?taxnode_id=201855629","ICTVonline=201855629")</f>
        <v>ICTVonline=201855629</v>
      </c>
      <c r="AA946" s="1">
        <v>201850000</v>
      </c>
      <c r="AB946" s="1">
        <v>34</v>
      </c>
    </row>
    <row r="947" spans="1:28" x14ac:dyDescent="0.15">
      <c r="A947" s="1">
        <v>2627</v>
      </c>
      <c r="B947" s="1" t="s">
        <v>7159</v>
      </c>
      <c r="J947" s="1" t="s">
        <v>1074</v>
      </c>
      <c r="L947" s="1" t="s">
        <v>1999</v>
      </c>
      <c r="M947" s="1" t="s">
        <v>1887</v>
      </c>
      <c r="N947" s="1" t="s">
        <v>1886</v>
      </c>
      <c r="P947" s="1" t="s">
        <v>1424</v>
      </c>
      <c r="Q947" s="3">
        <v>1</v>
      </c>
      <c r="S947" s="23" t="s">
        <v>5949</v>
      </c>
      <c r="T947" s="23" t="s">
        <v>4931</v>
      </c>
      <c r="U947" s="3">
        <v>34</v>
      </c>
      <c r="W947" s="45" t="str">
        <f>HYPERLINK("http://ictvonline.org/taxonomy/p/taxonomy-history?taxnode_id=201852130","ICTVonline=201852130")</f>
        <v>ICTVonline=201852130</v>
      </c>
      <c r="AA947" s="1">
        <v>201850000</v>
      </c>
      <c r="AB947" s="1">
        <v>34</v>
      </c>
    </row>
    <row r="948" spans="1:28" x14ac:dyDescent="0.15">
      <c r="A948" s="1">
        <v>2629</v>
      </c>
      <c r="B948" s="1" t="s">
        <v>7159</v>
      </c>
      <c r="J948" s="1" t="s">
        <v>1074</v>
      </c>
      <c r="L948" s="1" t="s">
        <v>1999</v>
      </c>
      <c r="M948" s="1" t="s">
        <v>1887</v>
      </c>
      <c r="N948" s="1" t="s">
        <v>1886</v>
      </c>
      <c r="P948" s="1" t="s">
        <v>1425</v>
      </c>
      <c r="Q948" s="3">
        <v>0</v>
      </c>
      <c r="S948" s="23" t="s">
        <v>5949</v>
      </c>
      <c r="T948" s="23" t="s">
        <v>4931</v>
      </c>
      <c r="U948" s="3">
        <v>34</v>
      </c>
      <c r="W948" s="45" t="str">
        <f>HYPERLINK("http://ictvonline.org/taxonomy/p/taxonomy-history?taxnode_id=201852131","ICTVonline=201852131")</f>
        <v>ICTVonline=201852131</v>
      </c>
      <c r="AA948" s="1">
        <v>201850000</v>
      </c>
      <c r="AB948" s="1">
        <v>34</v>
      </c>
    </row>
    <row r="949" spans="1:28" x14ac:dyDescent="0.15">
      <c r="A949" s="1">
        <v>2631</v>
      </c>
      <c r="B949" s="1" t="s">
        <v>7159</v>
      </c>
      <c r="J949" s="1" t="s">
        <v>1074</v>
      </c>
      <c r="L949" s="1" t="s">
        <v>1999</v>
      </c>
      <c r="M949" s="1" t="s">
        <v>1887</v>
      </c>
      <c r="N949" s="1" t="s">
        <v>1886</v>
      </c>
      <c r="P949" s="1" t="s">
        <v>1426</v>
      </c>
      <c r="Q949" s="3">
        <v>0</v>
      </c>
      <c r="S949" s="23" t="s">
        <v>5949</v>
      </c>
      <c r="T949" s="23" t="s">
        <v>4931</v>
      </c>
      <c r="U949" s="3">
        <v>34</v>
      </c>
      <c r="W949" s="45" t="str">
        <f>HYPERLINK("http://ictvonline.org/taxonomy/p/taxonomy-history?taxnode_id=201852132","ICTVonline=201852132")</f>
        <v>ICTVonline=201852132</v>
      </c>
      <c r="AA949" s="1">
        <v>201850000</v>
      </c>
      <c r="AB949" s="1">
        <v>34</v>
      </c>
    </row>
    <row r="950" spans="1:28" x14ac:dyDescent="0.15">
      <c r="A950" s="1">
        <v>2636</v>
      </c>
      <c r="B950" s="1" t="s">
        <v>7159</v>
      </c>
      <c r="J950" s="1" t="s">
        <v>1074</v>
      </c>
      <c r="L950" s="1" t="s">
        <v>1999</v>
      </c>
      <c r="N950" s="1" t="s">
        <v>638</v>
      </c>
      <c r="P950" s="1" t="s">
        <v>639</v>
      </c>
      <c r="Q950" s="3">
        <v>0</v>
      </c>
      <c r="S950" s="23" t="s">
        <v>5949</v>
      </c>
      <c r="T950" s="23" t="s">
        <v>4931</v>
      </c>
      <c r="U950" s="3">
        <v>34</v>
      </c>
      <c r="W950" s="45" t="str">
        <f>HYPERLINK("http://ictvonline.org/taxonomy/p/taxonomy-history?taxnode_id=201852135","ICTVonline=201852135")</f>
        <v>ICTVonline=201852135</v>
      </c>
      <c r="AA950" s="1">
        <v>201850000</v>
      </c>
      <c r="AB950" s="1">
        <v>34</v>
      </c>
    </row>
    <row r="951" spans="1:28" x14ac:dyDescent="0.15">
      <c r="A951" s="1">
        <v>2638</v>
      </c>
      <c r="B951" s="1" t="s">
        <v>7159</v>
      </c>
      <c r="J951" s="1" t="s">
        <v>1074</v>
      </c>
      <c r="L951" s="1" t="s">
        <v>1999</v>
      </c>
      <c r="N951" s="1" t="s">
        <v>638</v>
      </c>
      <c r="P951" s="1" t="s">
        <v>2321</v>
      </c>
      <c r="Q951" s="3">
        <v>0</v>
      </c>
      <c r="S951" s="23" t="s">
        <v>5949</v>
      </c>
      <c r="T951" s="23" t="s">
        <v>4931</v>
      </c>
      <c r="U951" s="3">
        <v>34</v>
      </c>
      <c r="W951" s="45" t="str">
        <f>HYPERLINK("http://ictvonline.org/taxonomy/p/taxonomy-history?taxnode_id=201852136","ICTVonline=201852136")</f>
        <v>ICTVonline=201852136</v>
      </c>
      <c r="AA951" s="1">
        <v>201850000</v>
      </c>
      <c r="AB951" s="1">
        <v>34</v>
      </c>
    </row>
    <row r="952" spans="1:28" x14ac:dyDescent="0.15">
      <c r="A952" s="1">
        <v>2640</v>
      </c>
      <c r="B952" s="1" t="s">
        <v>7159</v>
      </c>
      <c r="J952" s="1" t="s">
        <v>1074</v>
      </c>
      <c r="L952" s="1" t="s">
        <v>1999</v>
      </c>
      <c r="N952" s="1" t="s">
        <v>638</v>
      </c>
      <c r="P952" s="1" t="s">
        <v>640</v>
      </c>
      <c r="Q952" s="3">
        <v>1</v>
      </c>
      <c r="S952" s="23" t="s">
        <v>5949</v>
      </c>
      <c r="T952" s="23" t="s">
        <v>4931</v>
      </c>
      <c r="U952" s="3">
        <v>34</v>
      </c>
      <c r="W952" s="45" t="str">
        <f>HYPERLINK("http://ictvonline.org/taxonomy/p/taxonomy-history?taxnode_id=201852137","ICTVonline=201852137")</f>
        <v>ICTVonline=201852137</v>
      </c>
      <c r="AA952" s="1">
        <v>201850000</v>
      </c>
      <c r="AB952" s="1">
        <v>34</v>
      </c>
    </row>
    <row r="953" spans="1:28" x14ac:dyDescent="0.15">
      <c r="A953" s="1">
        <v>2642</v>
      </c>
      <c r="B953" s="1" t="s">
        <v>7159</v>
      </c>
      <c r="J953" s="1" t="s">
        <v>1074</v>
      </c>
      <c r="L953" s="1" t="s">
        <v>1999</v>
      </c>
      <c r="N953" s="1" t="s">
        <v>638</v>
      </c>
      <c r="P953" s="1" t="s">
        <v>4611</v>
      </c>
      <c r="Q953" s="3">
        <v>0</v>
      </c>
      <c r="S953" s="23" t="s">
        <v>5949</v>
      </c>
      <c r="T953" s="23" t="s">
        <v>4931</v>
      </c>
      <c r="U953" s="3">
        <v>34</v>
      </c>
      <c r="W953" s="45" t="str">
        <f>HYPERLINK("http://ictvonline.org/taxonomy/p/taxonomy-history?taxnode_id=201852138","ICTVonline=201852138")</f>
        <v>ICTVonline=201852138</v>
      </c>
      <c r="AA953" s="1">
        <v>201850000</v>
      </c>
      <c r="AB953" s="1">
        <v>34</v>
      </c>
    </row>
    <row r="954" spans="1:28" x14ac:dyDescent="0.15">
      <c r="A954" s="1">
        <v>2644</v>
      </c>
      <c r="B954" s="1" t="s">
        <v>7159</v>
      </c>
      <c r="J954" s="1" t="s">
        <v>1074</v>
      </c>
      <c r="L954" s="1" t="s">
        <v>1999</v>
      </c>
      <c r="N954" s="1" t="s">
        <v>638</v>
      </c>
      <c r="P954" s="1" t="s">
        <v>641</v>
      </c>
      <c r="Q954" s="3">
        <v>0</v>
      </c>
      <c r="S954" s="23" t="s">
        <v>5949</v>
      </c>
      <c r="T954" s="23" t="s">
        <v>4931</v>
      </c>
      <c r="U954" s="3">
        <v>34</v>
      </c>
      <c r="W954" s="45" t="str">
        <f>HYPERLINK("http://ictvonline.org/taxonomy/p/taxonomy-history?taxnode_id=201852139","ICTVonline=201852139")</f>
        <v>ICTVonline=201852139</v>
      </c>
      <c r="AA954" s="1">
        <v>201850000</v>
      </c>
      <c r="AB954" s="1">
        <v>34</v>
      </c>
    </row>
    <row r="955" spans="1:28" x14ac:dyDescent="0.15">
      <c r="A955" s="1">
        <v>2648</v>
      </c>
      <c r="B955" s="1" t="s">
        <v>7159</v>
      </c>
      <c r="J955" s="1" t="s">
        <v>1074</v>
      </c>
      <c r="L955" s="1" t="s">
        <v>1999</v>
      </c>
      <c r="N955" s="1" t="s">
        <v>1777</v>
      </c>
      <c r="P955" s="1" t="s">
        <v>1778</v>
      </c>
      <c r="Q955" s="3">
        <v>1</v>
      </c>
      <c r="S955" s="23" t="s">
        <v>5949</v>
      </c>
      <c r="T955" s="23" t="s">
        <v>4931</v>
      </c>
      <c r="U955" s="3">
        <v>34</v>
      </c>
      <c r="W955" s="45" t="str">
        <f>HYPERLINK("http://ictvonline.org/taxonomy/p/taxonomy-history?taxnode_id=201852141","ICTVonline=201852141")</f>
        <v>ICTVonline=201852141</v>
      </c>
      <c r="AA955" s="1">
        <v>201850000</v>
      </c>
      <c r="AB955" s="1">
        <v>34</v>
      </c>
    </row>
    <row r="956" spans="1:28" x14ac:dyDescent="0.15">
      <c r="A956" s="1">
        <v>2652</v>
      </c>
      <c r="B956" s="1" t="s">
        <v>7159</v>
      </c>
      <c r="J956" s="1" t="s">
        <v>1074</v>
      </c>
      <c r="L956" s="1" t="s">
        <v>1999</v>
      </c>
      <c r="N956" s="1" t="s">
        <v>634</v>
      </c>
      <c r="P956" s="1" t="s">
        <v>2144</v>
      </c>
      <c r="Q956" s="3">
        <v>0</v>
      </c>
      <c r="S956" s="23" t="s">
        <v>5949</v>
      </c>
      <c r="T956" s="23" t="s">
        <v>4931</v>
      </c>
      <c r="U956" s="3">
        <v>34</v>
      </c>
      <c r="W956" s="45" t="str">
        <f>HYPERLINK("http://ictvonline.org/taxonomy/p/taxonomy-history?taxnode_id=201852143","ICTVonline=201852143")</f>
        <v>ICTVonline=201852143</v>
      </c>
      <c r="AA956" s="1">
        <v>201850000</v>
      </c>
      <c r="AB956" s="1">
        <v>34</v>
      </c>
    </row>
    <row r="957" spans="1:28" x14ac:dyDescent="0.15">
      <c r="A957" s="1">
        <v>2654</v>
      </c>
      <c r="B957" s="1" t="s">
        <v>7159</v>
      </c>
      <c r="J957" s="1" t="s">
        <v>1074</v>
      </c>
      <c r="L957" s="1" t="s">
        <v>1999</v>
      </c>
      <c r="N957" s="1" t="s">
        <v>634</v>
      </c>
      <c r="P957" s="1" t="s">
        <v>635</v>
      </c>
      <c r="Q957" s="3">
        <v>0</v>
      </c>
      <c r="S957" s="23" t="s">
        <v>5949</v>
      </c>
      <c r="T957" s="23" t="s">
        <v>4931</v>
      </c>
      <c r="U957" s="3">
        <v>34</v>
      </c>
      <c r="W957" s="45" t="str">
        <f>HYPERLINK("http://ictvonline.org/taxonomy/p/taxonomy-history?taxnode_id=201852144","ICTVonline=201852144")</f>
        <v>ICTVonline=201852144</v>
      </c>
      <c r="AA957" s="1">
        <v>201850000</v>
      </c>
      <c r="AB957" s="1">
        <v>34</v>
      </c>
    </row>
    <row r="958" spans="1:28" x14ac:dyDescent="0.15">
      <c r="A958" s="1">
        <v>2656</v>
      </c>
      <c r="B958" s="1" t="s">
        <v>7159</v>
      </c>
      <c r="J958" s="1" t="s">
        <v>1074</v>
      </c>
      <c r="L958" s="1" t="s">
        <v>1999</v>
      </c>
      <c r="N958" s="1" t="s">
        <v>634</v>
      </c>
      <c r="P958" s="1" t="s">
        <v>1510</v>
      </c>
      <c r="Q958" s="3">
        <v>1</v>
      </c>
      <c r="S958" s="23" t="s">
        <v>5949</v>
      </c>
      <c r="T958" s="23" t="s">
        <v>4931</v>
      </c>
      <c r="U958" s="3">
        <v>34</v>
      </c>
      <c r="W958" s="45" t="str">
        <f>HYPERLINK("http://ictvonline.org/taxonomy/p/taxonomy-history?taxnode_id=201852145","ICTVonline=201852145")</f>
        <v>ICTVonline=201852145</v>
      </c>
      <c r="AA958" s="1">
        <v>201850000</v>
      </c>
      <c r="AB958" s="1">
        <v>34</v>
      </c>
    </row>
    <row r="959" spans="1:28" x14ac:dyDescent="0.15">
      <c r="A959" s="1">
        <v>2660</v>
      </c>
      <c r="B959" s="1" t="s">
        <v>7159</v>
      </c>
      <c r="J959" s="1" t="s">
        <v>1074</v>
      </c>
      <c r="L959" s="1" t="s">
        <v>1999</v>
      </c>
      <c r="N959" s="1" t="s">
        <v>1996</v>
      </c>
      <c r="P959" s="1" t="s">
        <v>3654</v>
      </c>
      <c r="Q959" s="3">
        <v>0</v>
      </c>
      <c r="S959" s="23" t="s">
        <v>5949</v>
      </c>
      <c r="T959" s="23" t="s">
        <v>4931</v>
      </c>
      <c r="U959" s="3">
        <v>34</v>
      </c>
      <c r="W959" s="45" t="str">
        <f>HYPERLINK("http://ictvonline.org/taxonomy/p/taxonomy-history?taxnode_id=201852147","ICTVonline=201852147")</f>
        <v>ICTVonline=201852147</v>
      </c>
      <c r="AA959" s="1">
        <v>201850000</v>
      </c>
      <c r="AB959" s="1">
        <v>34</v>
      </c>
    </row>
    <row r="960" spans="1:28" x14ac:dyDescent="0.15">
      <c r="A960" s="1">
        <v>2662</v>
      </c>
      <c r="B960" s="1" t="s">
        <v>7159</v>
      </c>
      <c r="J960" s="1" t="s">
        <v>1074</v>
      </c>
      <c r="L960" s="1" t="s">
        <v>1999</v>
      </c>
      <c r="N960" s="1" t="s">
        <v>1996</v>
      </c>
      <c r="P960" s="1" t="s">
        <v>2647</v>
      </c>
      <c r="Q960" s="3">
        <v>0</v>
      </c>
      <c r="S960" s="23" t="s">
        <v>5949</v>
      </c>
      <c r="T960" s="23" t="s">
        <v>4931</v>
      </c>
      <c r="U960" s="3">
        <v>34</v>
      </c>
      <c r="W960" s="45" t="str">
        <f>HYPERLINK("http://ictvonline.org/taxonomy/p/taxonomy-history?taxnode_id=201852148","ICTVonline=201852148")</f>
        <v>ICTVonline=201852148</v>
      </c>
      <c r="AA960" s="1">
        <v>201850000</v>
      </c>
      <c r="AB960" s="1">
        <v>34</v>
      </c>
    </row>
    <row r="961" spans="1:28" x14ac:dyDescent="0.15">
      <c r="A961" s="1">
        <v>2664</v>
      </c>
      <c r="B961" s="1" t="s">
        <v>7159</v>
      </c>
      <c r="J961" s="1" t="s">
        <v>1074</v>
      </c>
      <c r="L961" s="1" t="s">
        <v>1999</v>
      </c>
      <c r="N961" s="1" t="s">
        <v>1996</v>
      </c>
      <c r="P961" s="1" t="s">
        <v>3655</v>
      </c>
      <c r="Q961" s="3">
        <v>0</v>
      </c>
      <c r="S961" s="23" t="s">
        <v>5949</v>
      </c>
      <c r="T961" s="23" t="s">
        <v>4931</v>
      </c>
      <c r="U961" s="3">
        <v>34</v>
      </c>
      <c r="W961" s="45" t="str">
        <f>HYPERLINK("http://ictvonline.org/taxonomy/p/taxonomy-history?taxnode_id=201852149","ICTVonline=201852149")</f>
        <v>ICTVonline=201852149</v>
      </c>
      <c r="AA961" s="1">
        <v>201850000</v>
      </c>
      <c r="AB961" s="1">
        <v>34</v>
      </c>
    </row>
    <row r="962" spans="1:28" x14ac:dyDescent="0.15">
      <c r="A962" s="1">
        <v>2666</v>
      </c>
      <c r="B962" s="1" t="s">
        <v>7159</v>
      </c>
      <c r="J962" s="1" t="s">
        <v>1074</v>
      </c>
      <c r="L962" s="1" t="s">
        <v>1999</v>
      </c>
      <c r="N962" s="1" t="s">
        <v>1996</v>
      </c>
      <c r="P962" s="1" t="s">
        <v>4612</v>
      </c>
      <c r="Q962" s="3">
        <v>0</v>
      </c>
      <c r="S962" s="23" t="s">
        <v>5949</v>
      </c>
      <c r="T962" s="23" t="s">
        <v>4931</v>
      </c>
      <c r="U962" s="3">
        <v>34</v>
      </c>
      <c r="W962" s="45" t="str">
        <f>HYPERLINK("http://ictvonline.org/taxonomy/p/taxonomy-history?taxnode_id=201852150","ICTVonline=201852150")</f>
        <v>ICTVonline=201852150</v>
      </c>
      <c r="AA962" s="1">
        <v>201850000</v>
      </c>
      <c r="AB962" s="1">
        <v>34</v>
      </c>
    </row>
    <row r="963" spans="1:28" x14ac:dyDescent="0.15">
      <c r="A963" s="1">
        <v>2668</v>
      </c>
      <c r="B963" s="1" t="s">
        <v>7159</v>
      </c>
      <c r="J963" s="1" t="s">
        <v>1074</v>
      </c>
      <c r="L963" s="1" t="s">
        <v>1999</v>
      </c>
      <c r="N963" s="1" t="s">
        <v>1996</v>
      </c>
      <c r="P963" s="1" t="s">
        <v>1998</v>
      </c>
      <c r="Q963" s="3">
        <v>0</v>
      </c>
      <c r="S963" s="23" t="s">
        <v>5949</v>
      </c>
      <c r="T963" s="23" t="s">
        <v>4931</v>
      </c>
      <c r="U963" s="3">
        <v>34</v>
      </c>
      <c r="W963" s="45" t="str">
        <f>HYPERLINK("http://ictvonline.org/taxonomy/p/taxonomy-history?taxnode_id=201852151","ICTVonline=201852151")</f>
        <v>ICTVonline=201852151</v>
      </c>
      <c r="AA963" s="1">
        <v>201850000</v>
      </c>
      <c r="AB963" s="1">
        <v>34</v>
      </c>
    </row>
    <row r="964" spans="1:28" x14ac:dyDescent="0.15">
      <c r="A964" s="1">
        <v>2670</v>
      </c>
      <c r="B964" s="1" t="s">
        <v>7159</v>
      </c>
      <c r="J964" s="1" t="s">
        <v>1074</v>
      </c>
      <c r="L964" s="1" t="s">
        <v>1999</v>
      </c>
      <c r="N964" s="1" t="s">
        <v>1996</v>
      </c>
      <c r="P964" s="1" t="s">
        <v>1997</v>
      </c>
      <c r="Q964" s="3">
        <v>1</v>
      </c>
      <c r="S964" s="23" t="s">
        <v>5949</v>
      </c>
      <c r="T964" s="23" t="s">
        <v>4931</v>
      </c>
      <c r="U964" s="3">
        <v>34</v>
      </c>
      <c r="W964" s="45" t="str">
        <f>HYPERLINK("http://ictvonline.org/taxonomy/p/taxonomy-history?taxnode_id=201852152","ICTVonline=201852152")</f>
        <v>ICTVonline=201852152</v>
      </c>
      <c r="AA964" s="1">
        <v>201850000</v>
      </c>
      <c r="AB964" s="1">
        <v>34</v>
      </c>
    </row>
    <row r="965" spans="1:28" x14ac:dyDescent="0.15">
      <c r="A965" s="1">
        <v>2674</v>
      </c>
      <c r="B965" s="1" t="s">
        <v>7159</v>
      </c>
      <c r="J965" s="1" t="s">
        <v>1074</v>
      </c>
      <c r="L965" s="1" t="s">
        <v>1999</v>
      </c>
      <c r="N965" s="1" t="s">
        <v>1883</v>
      </c>
      <c r="P965" s="1" t="s">
        <v>636</v>
      </c>
      <c r="Q965" s="3">
        <v>0</v>
      </c>
      <c r="S965" s="23" t="s">
        <v>5949</v>
      </c>
      <c r="T965" s="23" t="s">
        <v>4931</v>
      </c>
      <c r="U965" s="3">
        <v>34</v>
      </c>
      <c r="W965" s="45" t="str">
        <f>HYPERLINK("http://ictvonline.org/taxonomy/p/taxonomy-history?taxnode_id=201852159","ICTVonline=201852159")</f>
        <v>ICTVonline=201852159</v>
      </c>
      <c r="AA965" s="1">
        <v>201850000</v>
      </c>
      <c r="AB965" s="1">
        <v>34</v>
      </c>
    </row>
    <row r="966" spans="1:28" x14ac:dyDescent="0.15">
      <c r="A966" s="1">
        <v>2676</v>
      </c>
      <c r="B966" s="1" t="s">
        <v>7159</v>
      </c>
      <c r="J966" s="1" t="s">
        <v>1074</v>
      </c>
      <c r="L966" s="1" t="s">
        <v>1999</v>
      </c>
      <c r="N966" s="1" t="s">
        <v>1883</v>
      </c>
      <c r="P966" s="1" t="s">
        <v>4614</v>
      </c>
      <c r="Q966" s="3">
        <v>0</v>
      </c>
      <c r="S966" s="23" t="s">
        <v>5949</v>
      </c>
      <c r="T966" s="23" t="s">
        <v>4931</v>
      </c>
      <c r="U966" s="3">
        <v>34</v>
      </c>
      <c r="W966" s="45" t="str">
        <f>HYPERLINK("http://ictvonline.org/taxonomy/p/taxonomy-history?taxnode_id=201852160","ICTVonline=201852160")</f>
        <v>ICTVonline=201852160</v>
      </c>
      <c r="AA966" s="1">
        <v>201850000</v>
      </c>
      <c r="AB966" s="1">
        <v>34</v>
      </c>
    </row>
    <row r="967" spans="1:28" x14ac:dyDescent="0.15">
      <c r="A967" s="1">
        <v>2678</v>
      </c>
      <c r="B967" s="1" t="s">
        <v>7159</v>
      </c>
      <c r="J967" s="1" t="s">
        <v>1074</v>
      </c>
      <c r="L967" s="1" t="s">
        <v>1999</v>
      </c>
      <c r="N967" s="1" t="s">
        <v>1883</v>
      </c>
      <c r="P967" s="1" t="s">
        <v>637</v>
      </c>
      <c r="Q967" s="3">
        <v>0</v>
      </c>
      <c r="S967" s="23" t="s">
        <v>5949</v>
      </c>
      <c r="T967" s="23" t="s">
        <v>4931</v>
      </c>
      <c r="U967" s="3">
        <v>34</v>
      </c>
      <c r="W967" s="45" t="str">
        <f>HYPERLINK("http://ictvonline.org/taxonomy/p/taxonomy-history?taxnode_id=201852161","ICTVonline=201852161")</f>
        <v>ICTVonline=201852161</v>
      </c>
      <c r="AA967" s="1">
        <v>201850000</v>
      </c>
      <c r="AB967" s="1">
        <v>34</v>
      </c>
    </row>
    <row r="968" spans="1:28" x14ac:dyDescent="0.15">
      <c r="A968" s="1">
        <v>2680</v>
      </c>
      <c r="B968" s="1" t="s">
        <v>7159</v>
      </c>
      <c r="J968" s="1" t="s">
        <v>1074</v>
      </c>
      <c r="L968" s="1" t="s">
        <v>1999</v>
      </c>
      <c r="N968" s="1" t="s">
        <v>1883</v>
      </c>
      <c r="P968" s="1" t="s">
        <v>1511</v>
      </c>
      <c r="Q968" s="3">
        <v>1</v>
      </c>
      <c r="S968" s="23" t="s">
        <v>5949</v>
      </c>
      <c r="T968" s="23" t="s">
        <v>4931</v>
      </c>
      <c r="U968" s="3">
        <v>34</v>
      </c>
      <c r="W968" s="45" t="str">
        <f>HYPERLINK("http://ictvonline.org/taxonomy/p/taxonomy-history?taxnode_id=201852162","ICTVonline=201852162")</f>
        <v>ICTVonline=201852162</v>
      </c>
      <c r="AA968" s="1">
        <v>201850000</v>
      </c>
      <c r="AB968" s="1">
        <v>34</v>
      </c>
    </row>
    <row r="969" spans="1:28" x14ac:dyDescent="0.15">
      <c r="A969" s="1">
        <v>2683</v>
      </c>
      <c r="B969" s="1" t="s">
        <v>7159</v>
      </c>
      <c r="J969" s="1" t="s">
        <v>1074</v>
      </c>
      <c r="L969" s="1" t="s">
        <v>1999</v>
      </c>
      <c r="P969" s="1" t="s">
        <v>2145</v>
      </c>
      <c r="Q969" s="3">
        <v>0</v>
      </c>
      <c r="S969" s="23" t="s">
        <v>5949</v>
      </c>
      <c r="T969" s="23" t="s">
        <v>4931</v>
      </c>
      <c r="U969" s="3">
        <v>34</v>
      </c>
      <c r="W969" s="45" t="str">
        <f>HYPERLINK("http://ictvonline.org/taxonomy/p/taxonomy-history?taxnode_id=201852154","ICTVonline=201852154")</f>
        <v>ICTVonline=201852154</v>
      </c>
      <c r="AA969" s="1">
        <v>201850000</v>
      </c>
      <c r="AB969" s="1">
        <v>34</v>
      </c>
    </row>
    <row r="970" spans="1:28" x14ac:dyDescent="0.15">
      <c r="A970" s="1">
        <v>2685</v>
      </c>
      <c r="B970" s="1" t="s">
        <v>7159</v>
      </c>
      <c r="J970" s="1" t="s">
        <v>1074</v>
      </c>
      <c r="L970" s="1" t="s">
        <v>1999</v>
      </c>
      <c r="P970" s="1" t="s">
        <v>4613</v>
      </c>
      <c r="Q970" s="3">
        <v>0</v>
      </c>
      <c r="S970" s="23" t="s">
        <v>5949</v>
      </c>
      <c r="T970" s="23" t="s">
        <v>4931</v>
      </c>
      <c r="U970" s="3">
        <v>34</v>
      </c>
      <c r="W970" s="45" t="str">
        <f>HYPERLINK("http://ictvonline.org/taxonomy/p/taxonomy-history?taxnode_id=201852155","ICTVonline=201852155")</f>
        <v>ICTVonline=201852155</v>
      </c>
      <c r="AA970" s="1">
        <v>201850000</v>
      </c>
      <c r="AB970" s="1">
        <v>34</v>
      </c>
    </row>
    <row r="971" spans="1:28" x14ac:dyDescent="0.15">
      <c r="A971" s="1">
        <v>2687</v>
      </c>
      <c r="B971" s="1" t="s">
        <v>7159</v>
      </c>
      <c r="J971" s="1" t="s">
        <v>1074</v>
      </c>
      <c r="L971" s="1" t="s">
        <v>1999</v>
      </c>
      <c r="P971" s="1" t="s">
        <v>5199</v>
      </c>
      <c r="Q971" s="3">
        <v>0</v>
      </c>
      <c r="S971" s="23" t="s">
        <v>5949</v>
      </c>
      <c r="T971" s="23" t="s">
        <v>4931</v>
      </c>
      <c r="U971" s="3">
        <v>34</v>
      </c>
      <c r="W971" s="45" t="str">
        <f>HYPERLINK("http://ictvonline.org/taxonomy/p/taxonomy-history?taxnode_id=201855630","ICTVonline=201855630")</f>
        <v>ICTVonline=201855630</v>
      </c>
      <c r="AA971" s="1">
        <v>201850000</v>
      </c>
      <c r="AB971" s="1">
        <v>34</v>
      </c>
    </row>
    <row r="972" spans="1:28" x14ac:dyDescent="0.15">
      <c r="A972" s="1">
        <v>2689</v>
      </c>
      <c r="B972" s="1" t="s">
        <v>7159</v>
      </c>
      <c r="J972" s="1" t="s">
        <v>1074</v>
      </c>
      <c r="L972" s="1" t="s">
        <v>1999</v>
      </c>
      <c r="P972" s="1" t="s">
        <v>1779</v>
      </c>
      <c r="Q972" s="3">
        <v>0</v>
      </c>
      <c r="S972" s="23" t="s">
        <v>5949</v>
      </c>
      <c r="T972" s="23" t="s">
        <v>4931</v>
      </c>
      <c r="U972" s="3">
        <v>34</v>
      </c>
      <c r="W972" s="45" t="str">
        <f>HYPERLINK("http://ictvonline.org/taxonomy/p/taxonomy-history?taxnode_id=201852156","ICTVonline=201852156")</f>
        <v>ICTVonline=201852156</v>
      </c>
      <c r="AA972" s="1">
        <v>201850000</v>
      </c>
      <c r="AB972" s="1">
        <v>34</v>
      </c>
    </row>
    <row r="973" spans="1:28" x14ac:dyDescent="0.15">
      <c r="A973" s="1">
        <v>2691</v>
      </c>
      <c r="B973" s="1" t="s">
        <v>7159</v>
      </c>
      <c r="J973" s="1" t="s">
        <v>1074</v>
      </c>
      <c r="L973" s="1" t="s">
        <v>1999</v>
      </c>
      <c r="P973" s="1" t="s">
        <v>1780</v>
      </c>
      <c r="Q973" s="3">
        <v>0</v>
      </c>
      <c r="S973" s="23" t="s">
        <v>5949</v>
      </c>
      <c r="T973" s="23" t="s">
        <v>4931</v>
      </c>
      <c r="U973" s="3">
        <v>34</v>
      </c>
      <c r="W973" s="45" t="str">
        <f>HYPERLINK("http://ictvonline.org/taxonomy/p/taxonomy-history?taxnode_id=201852157","ICTVonline=201852157")</f>
        <v>ICTVonline=201852157</v>
      </c>
      <c r="AA973" s="1">
        <v>201850000</v>
      </c>
      <c r="AB973" s="1">
        <v>34</v>
      </c>
    </row>
    <row r="974" spans="1:28" x14ac:dyDescent="0.15">
      <c r="A974" s="1">
        <v>2698</v>
      </c>
      <c r="B974" s="1" t="s">
        <v>7159</v>
      </c>
      <c r="J974" s="1" t="s">
        <v>1168</v>
      </c>
      <c r="L974" s="1" t="s">
        <v>298</v>
      </c>
      <c r="N974" s="1" t="s">
        <v>411</v>
      </c>
      <c r="P974" s="1" t="s">
        <v>5201</v>
      </c>
      <c r="Q974" s="3">
        <v>0</v>
      </c>
      <c r="S974" s="23" t="s">
        <v>5949</v>
      </c>
      <c r="T974" s="23" t="s">
        <v>4931</v>
      </c>
      <c r="U974" s="3">
        <v>34</v>
      </c>
      <c r="W974" s="45" t="str">
        <f>HYPERLINK("http://ictvonline.org/taxonomy/p/taxonomy-history?taxnode_id=201855631","ICTVonline=201855631")</f>
        <v>ICTVonline=201855631</v>
      </c>
      <c r="AA974" s="1">
        <v>201850000</v>
      </c>
      <c r="AB974" s="1">
        <v>34</v>
      </c>
    </row>
    <row r="975" spans="1:28" x14ac:dyDescent="0.15">
      <c r="A975" s="1">
        <v>2700</v>
      </c>
      <c r="B975" s="1" t="s">
        <v>7159</v>
      </c>
      <c r="J975" s="1" t="s">
        <v>1168</v>
      </c>
      <c r="L975" s="1" t="s">
        <v>298</v>
      </c>
      <c r="N975" s="1" t="s">
        <v>411</v>
      </c>
      <c r="P975" s="1" t="s">
        <v>5202</v>
      </c>
      <c r="Q975" s="3">
        <v>0</v>
      </c>
      <c r="S975" s="23" t="s">
        <v>5949</v>
      </c>
      <c r="T975" s="23" t="s">
        <v>4931</v>
      </c>
      <c r="U975" s="3">
        <v>34</v>
      </c>
      <c r="W975" s="45" t="str">
        <f>HYPERLINK("http://ictvonline.org/taxonomy/p/taxonomy-history?taxnode_id=201855632","ICTVonline=201855632")</f>
        <v>ICTVonline=201855632</v>
      </c>
      <c r="AA975" s="1">
        <v>201850000</v>
      </c>
      <c r="AB975" s="1">
        <v>34</v>
      </c>
    </row>
    <row r="976" spans="1:28" x14ac:dyDescent="0.15">
      <c r="A976" s="1">
        <v>2702</v>
      </c>
      <c r="B976" s="1" t="s">
        <v>7159</v>
      </c>
      <c r="J976" s="1" t="s">
        <v>1168</v>
      </c>
      <c r="L976" s="1" t="s">
        <v>298</v>
      </c>
      <c r="N976" s="1" t="s">
        <v>411</v>
      </c>
      <c r="P976" s="1" t="s">
        <v>2198</v>
      </c>
      <c r="Q976" s="3">
        <v>0</v>
      </c>
      <c r="S976" s="23" t="s">
        <v>5949</v>
      </c>
      <c r="T976" s="23" t="s">
        <v>4931</v>
      </c>
      <c r="U976" s="3">
        <v>34</v>
      </c>
      <c r="W976" s="45" t="str">
        <f>HYPERLINK("http://ictvonline.org/taxonomy/p/taxonomy-history?taxnode_id=201852231","ICTVonline=201852231")</f>
        <v>ICTVonline=201852231</v>
      </c>
      <c r="AA976" s="1">
        <v>201850000</v>
      </c>
      <c r="AB976" s="1">
        <v>34</v>
      </c>
    </row>
    <row r="977" spans="1:28" x14ac:dyDescent="0.15">
      <c r="A977" s="1">
        <v>2704</v>
      </c>
      <c r="B977" s="1" t="s">
        <v>7159</v>
      </c>
      <c r="J977" s="1" t="s">
        <v>1168</v>
      </c>
      <c r="L977" s="1" t="s">
        <v>298</v>
      </c>
      <c r="N977" s="1" t="s">
        <v>411</v>
      </c>
      <c r="P977" s="1" t="s">
        <v>412</v>
      </c>
      <c r="Q977" s="3">
        <v>0</v>
      </c>
      <c r="S977" s="23" t="s">
        <v>5949</v>
      </c>
      <c r="T977" s="23" t="s">
        <v>4931</v>
      </c>
      <c r="U977" s="3">
        <v>34</v>
      </c>
      <c r="W977" s="45" t="str">
        <f>HYPERLINK("http://ictvonline.org/taxonomy/p/taxonomy-history?taxnode_id=201852175","ICTVonline=201852175")</f>
        <v>ICTVonline=201852175</v>
      </c>
      <c r="AA977" s="1">
        <v>201850000</v>
      </c>
      <c r="AB977" s="1">
        <v>34</v>
      </c>
    </row>
    <row r="978" spans="1:28" x14ac:dyDescent="0.15">
      <c r="A978" s="1">
        <v>2706</v>
      </c>
      <c r="B978" s="1" t="s">
        <v>7159</v>
      </c>
      <c r="J978" s="1" t="s">
        <v>1168</v>
      </c>
      <c r="L978" s="1" t="s">
        <v>298</v>
      </c>
      <c r="N978" s="1" t="s">
        <v>411</v>
      </c>
      <c r="P978" s="1" t="s">
        <v>1506</v>
      </c>
      <c r="Q978" s="3">
        <v>0</v>
      </c>
      <c r="S978" s="23" t="s">
        <v>5949</v>
      </c>
      <c r="T978" s="23" t="s">
        <v>4931</v>
      </c>
      <c r="U978" s="3">
        <v>34</v>
      </c>
      <c r="W978" s="45" t="str">
        <f>HYPERLINK("http://ictvonline.org/taxonomy/p/taxonomy-history?taxnode_id=201852176","ICTVonline=201852176")</f>
        <v>ICTVonline=201852176</v>
      </c>
      <c r="AA978" s="1">
        <v>201850000</v>
      </c>
      <c r="AB978" s="1">
        <v>34</v>
      </c>
    </row>
    <row r="979" spans="1:28" x14ac:dyDescent="0.15">
      <c r="A979" s="1">
        <v>2708</v>
      </c>
      <c r="B979" s="1" t="s">
        <v>7159</v>
      </c>
      <c r="J979" s="1" t="s">
        <v>1168</v>
      </c>
      <c r="L979" s="1" t="s">
        <v>298</v>
      </c>
      <c r="N979" s="1" t="s">
        <v>411</v>
      </c>
      <c r="P979" s="1" t="s">
        <v>1507</v>
      </c>
      <c r="Q979" s="3">
        <v>0</v>
      </c>
      <c r="S979" s="23" t="s">
        <v>5949</v>
      </c>
      <c r="T979" s="23" t="s">
        <v>4931</v>
      </c>
      <c r="U979" s="3">
        <v>34</v>
      </c>
      <c r="W979" s="45" t="str">
        <f>HYPERLINK("http://ictvonline.org/taxonomy/p/taxonomy-history?taxnode_id=201852177","ICTVonline=201852177")</f>
        <v>ICTVonline=201852177</v>
      </c>
      <c r="AA979" s="1">
        <v>201850000</v>
      </c>
      <c r="AB979" s="1">
        <v>34</v>
      </c>
    </row>
    <row r="980" spans="1:28" x14ac:dyDescent="0.15">
      <c r="A980" s="1">
        <v>2710</v>
      </c>
      <c r="B980" s="1" t="s">
        <v>7159</v>
      </c>
      <c r="J980" s="1" t="s">
        <v>1168</v>
      </c>
      <c r="L980" s="1" t="s">
        <v>298</v>
      </c>
      <c r="N980" s="1" t="s">
        <v>411</v>
      </c>
      <c r="P980" s="1" t="s">
        <v>1508</v>
      </c>
      <c r="Q980" s="3">
        <v>0</v>
      </c>
      <c r="S980" s="23" t="s">
        <v>5949</v>
      </c>
      <c r="T980" s="23" t="s">
        <v>4931</v>
      </c>
      <c r="U980" s="3">
        <v>34</v>
      </c>
      <c r="W980" s="45" t="str">
        <f>HYPERLINK("http://ictvonline.org/taxonomy/p/taxonomy-history?taxnode_id=201852178","ICTVonline=201852178")</f>
        <v>ICTVonline=201852178</v>
      </c>
      <c r="AA980" s="1">
        <v>201850000</v>
      </c>
      <c r="AB980" s="1">
        <v>34</v>
      </c>
    </row>
    <row r="981" spans="1:28" x14ac:dyDescent="0.15">
      <c r="A981" s="1">
        <v>2712</v>
      </c>
      <c r="B981" s="1" t="s">
        <v>7159</v>
      </c>
      <c r="J981" s="1" t="s">
        <v>1168</v>
      </c>
      <c r="L981" s="1" t="s">
        <v>298</v>
      </c>
      <c r="N981" s="1" t="s">
        <v>411</v>
      </c>
      <c r="P981" s="1" t="s">
        <v>414</v>
      </c>
      <c r="Q981" s="3">
        <v>0</v>
      </c>
      <c r="S981" s="23" t="s">
        <v>5949</v>
      </c>
      <c r="T981" s="23" t="s">
        <v>4931</v>
      </c>
      <c r="U981" s="3">
        <v>34</v>
      </c>
      <c r="W981" s="45" t="str">
        <f>HYPERLINK("http://ictvonline.org/taxonomy/p/taxonomy-history?taxnode_id=201852179","ICTVonline=201852179")</f>
        <v>ICTVonline=201852179</v>
      </c>
      <c r="AA981" s="1">
        <v>201850000</v>
      </c>
      <c r="AB981" s="1">
        <v>34</v>
      </c>
    </row>
    <row r="982" spans="1:28" x14ac:dyDescent="0.15">
      <c r="A982" s="1">
        <v>2714</v>
      </c>
      <c r="B982" s="1" t="s">
        <v>7159</v>
      </c>
      <c r="J982" s="1" t="s">
        <v>1168</v>
      </c>
      <c r="L982" s="1" t="s">
        <v>298</v>
      </c>
      <c r="N982" s="1" t="s">
        <v>411</v>
      </c>
      <c r="P982" s="1" t="s">
        <v>415</v>
      </c>
      <c r="Q982" s="3">
        <v>0</v>
      </c>
      <c r="S982" s="23" t="s">
        <v>5949</v>
      </c>
      <c r="T982" s="23" t="s">
        <v>4931</v>
      </c>
      <c r="U982" s="3">
        <v>34</v>
      </c>
      <c r="W982" s="45" t="str">
        <f>HYPERLINK("http://ictvonline.org/taxonomy/p/taxonomy-history?taxnode_id=201852180","ICTVonline=201852180")</f>
        <v>ICTVonline=201852180</v>
      </c>
      <c r="AA982" s="1">
        <v>201850000</v>
      </c>
      <c r="AB982" s="1">
        <v>34</v>
      </c>
    </row>
    <row r="983" spans="1:28" x14ac:dyDescent="0.15">
      <c r="A983" s="1">
        <v>2716</v>
      </c>
      <c r="B983" s="1" t="s">
        <v>7159</v>
      </c>
      <c r="J983" s="1" t="s">
        <v>1168</v>
      </c>
      <c r="L983" s="1" t="s">
        <v>298</v>
      </c>
      <c r="N983" s="1" t="s">
        <v>411</v>
      </c>
      <c r="P983" s="1" t="s">
        <v>416</v>
      </c>
      <c r="Q983" s="3">
        <v>0</v>
      </c>
      <c r="S983" s="23" t="s">
        <v>5949</v>
      </c>
      <c r="T983" s="23" t="s">
        <v>4931</v>
      </c>
      <c r="U983" s="3">
        <v>34</v>
      </c>
      <c r="W983" s="45" t="str">
        <f>HYPERLINK("http://ictvonline.org/taxonomy/p/taxonomy-history?taxnode_id=201852181","ICTVonline=201852181")</f>
        <v>ICTVonline=201852181</v>
      </c>
      <c r="AA983" s="1">
        <v>201850000</v>
      </c>
      <c r="AB983" s="1">
        <v>34</v>
      </c>
    </row>
    <row r="984" spans="1:28" x14ac:dyDescent="0.15">
      <c r="A984" s="1">
        <v>2718</v>
      </c>
      <c r="B984" s="1" t="s">
        <v>7159</v>
      </c>
      <c r="J984" s="1" t="s">
        <v>1168</v>
      </c>
      <c r="L984" s="1" t="s">
        <v>298</v>
      </c>
      <c r="N984" s="1" t="s">
        <v>411</v>
      </c>
      <c r="P984" s="1" t="s">
        <v>417</v>
      </c>
      <c r="Q984" s="3">
        <v>1</v>
      </c>
      <c r="S984" s="23" t="s">
        <v>5949</v>
      </c>
      <c r="T984" s="23" t="s">
        <v>4931</v>
      </c>
      <c r="U984" s="3">
        <v>34</v>
      </c>
      <c r="W984" s="45" t="str">
        <f>HYPERLINK("http://ictvonline.org/taxonomy/p/taxonomy-history?taxnode_id=201852182","ICTVonline=201852182")</f>
        <v>ICTVonline=201852182</v>
      </c>
      <c r="AA984" s="1">
        <v>201850000</v>
      </c>
      <c r="AB984" s="1">
        <v>34</v>
      </c>
    </row>
    <row r="985" spans="1:28" x14ac:dyDescent="0.15">
      <c r="A985" s="1">
        <v>2720</v>
      </c>
      <c r="B985" s="1" t="s">
        <v>7159</v>
      </c>
      <c r="J985" s="1" t="s">
        <v>1168</v>
      </c>
      <c r="L985" s="1" t="s">
        <v>298</v>
      </c>
      <c r="N985" s="1" t="s">
        <v>411</v>
      </c>
      <c r="P985" s="1" t="s">
        <v>5203</v>
      </c>
      <c r="Q985" s="3">
        <v>0</v>
      </c>
      <c r="S985" s="23" t="s">
        <v>5949</v>
      </c>
      <c r="T985" s="23" t="s">
        <v>4931</v>
      </c>
      <c r="U985" s="3">
        <v>34</v>
      </c>
      <c r="W985" s="45" t="str">
        <f>HYPERLINK("http://ictvonline.org/taxonomy/p/taxonomy-history?taxnode_id=201855633","ICTVonline=201855633")</f>
        <v>ICTVonline=201855633</v>
      </c>
      <c r="AA985" s="1">
        <v>201850000</v>
      </c>
      <c r="AB985" s="1">
        <v>34</v>
      </c>
    </row>
    <row r="986" spans="1:28" x14ac:dyDescent="0.15">
      <c r="A986" s="1">
        <v>2724</v>
      </c>
      <c r="B986" s="1" t="s">
        <v>7159</v>
      </c>
      <c r="J986" s="1" t="s">
        <v>1168</v>
      </c>
      <c r="L986" s="1" t="s">
        <v>298</v>
      </c>
      <c r="N986" s="1" t="s">
        <v>714</v>
      </c>
      <c r="P986" s="1" t="s">
        <v>1167</v>
      </c>
      <c r="Q986" s="3">
        <v>1</v>
      </c>
      <c r="S986" s="23" t="s">
        <v>5949</v>
      </c>
      <c r="T986" s="23" t="s">
        <v>4931</v>
      </c>
      <c r="U986" s="3">
        <v>34</v>
      </c>
      <c r="W986" s="45" t="str">
        <f>HYPERLINK("http://ictvonline.org/taxonomy/p/taxonomy-history?taxnode_id=201852184","ICTVonline=201852184")</f>
        <v>ICTVonline=201852184</v>
      </c>
      <c r="AA986" s="1">
        <v>201850000</v>
      </c>
      <c r="AB986" s="1">
        <v>34</v>
      </c>
    </row>
    <row r="987" spans="1:28" x14ac:dyDescent="0.15">
      <c r="A987" s="1">
        <v>2728</v>
      </c>
      <c r="B987" s="1" t="s">
        <v>7159</v>
      </c>
      <c r="J987" s="1" t="s">
        <v>1168</v>
      </c>
      <c r="L987" s="1" t="s">
        <v>298</v>
      </c>
      <c r="N987" s="1" t="s">
        <v>2122</v>
      </c>
      <c r="P987" s="1" t="s">
        <v>2123</v>
      </c>
      <c r="Q987" s="3">
        <v>1</v>
      </c>
      <c r="S987" s="23" t="s">
        <v>5949</v>
      </c>
      <c r="T987" s="23" t="s">
        <v>4931</v>
      </c>
      <c r="U987" s="3">
        <v>34</v>
      </c>
      <c r="W987" s="45" t="str">
        <f>HYPERLINK("http://ictvonline.org/taxonomy/p/taxonomy-history?taxnode_id=201852186","ICTVonline=201852186")</f>
        <v>ICTVonline=201852186</v>
      </c>
      <c r="AA987" s="1">
        <v>201850000</v>
      </c>
      <c r="AB987" s="1">
        <v>34</v>
      </c>
    </row>
    <row r="988" spans="1:28" x14ac:dyDescent="0.15">
      <c r="A988" s="1">
        <v>2732</v>
      </c>
      <c r="B988" s="1" t="s">
        <v>7159</v>
      </c>
      <c r="J988" s="1" t="s">
        <v>1168</v>
      </c>
      <c r="L988" s="1" t="s">
        <v>298</v>
      </c>
      <c r="N988" s="1" t="s">
        <v>346</v>
      </c>
      <c r="P988" s="1" t="s">
        <v>2322</v>
      </c>
      <c r="Q988" s="3">
        <v>0</v>
      </c>
      <c r="S988" s="23" t="s">
        <v>5949</v>
      </c>
      <c r="T988" s="23" t="s">
        <v>4931</v>
      </c>
      <c r="U988" s="3">
        <v>34</v>
      </c>
      <c r="W988" s="45" t="str">
        <f>HYPERLINK("http://ictvonline.org/taxonomy/p/taxonomy-history?taxnode_id=201852188","ICTVonline=201852188")</f>
        <v>ICTVonline=201852188</v>
      </c>
      <c r="AA988" s="1">
        <v>201850000</v>
      </c>
      <c r="AB988" s="1">
        <v>34</v>
      </c>
    </row>
    <row r="989" spans="1:28" x14ac:dyDescent="0.15">
      <c r="A989" s="1">
        <v>2734</v>
      </c>
      <c r="B989" s="1" t="s">
        <v>7159</v>
      </c>
      <c r="J989" s="1" t="s">
        <v>1168</v>
      </c>
      <c r="L989" s="1" t="s">
        <v>298</v>
      </c>
      <c r="N989" s="1" t="s">
        <v>346</v>
      </c>
      <c r="P989" s="1" t="s">
        <v>1217</v>
      </c>
      <c r="Q989" s="3">
        <v>1</v>
      </c>
      <c r="S989" s="23" t="s">
        <v>5949</v>
      </c>
      <c r="T989" s="23" t="s">
        <v>4931</v>
      </c>
      <c r="U989" s="3">
        <v>34</v>
      </c>
      <c r="W989" s="45" t="str">
        <f>HYPERLINK("http://ictvonline.org/taxonomy/p/taxonomy-history?taxnode_id=201852189","ICTVonline=201852189")</f>
        <v>ICTVonline=201852189</v>
      </c>
      <c r="AA989" s="1">
        <v>201850000</v>
      </c>
      <c r="AB989" s="1">
        <v>34</v>
      </c>
    </row>
    <row r="990" spans="1:28" x14ac:dyDescent="0.15">
      <c r="A990" s="1">
        <v>2738</v>
      </c>
      <c r="B990" s="1" t="s">
        <v>7159</v>
      </c>
      <c r="J990" s="1" t="s">
        <v>1168</v>
      </c>
      <c r="L990" s="1" t="s">
        <v>298</v>
      </c>
      <c r="N990" s="1" t="s">
        <v>3656</v>
      </c>
      <c r="P990" s="1" t="s">
        <v>3657</v>
      </c>
      <c r="Q990" s="3">
        <v>1</v>
      </c>
      <c r="S990" s="23" t="s">
        <v>5949</v>
      </c>
      <c r="T990" s="23" t="s">
        <v>4931</v>
      </c>
      <c r="U990" s="3">
        <v>34</v>
      </c>
      <c r="W990" s="45" t="str">
        <f>HYPERLINK("http://ictvonline.org/taxonomy/p/taxonomy-history?taxnode_id=201852191","ICTVonline=201852191")</f>
        <v>ICTVonline=201852191</v>
      </c>
      <c r="AA990" s="1">
        <v>201850000</v>
      </c>
      <c r="AB990" s="1">
        <v>34</v>
      </c>
    </row>
    <row r="991" spans="1:28" x14ac:dyDescent="0.15">
      <c r="A991" s="1">
        <v>2742</v>
      </c>
      <c r="B991" s="1" t="s">
        <v>7159</v>
      </c>
      <c r="J991" s="1" t="s">
        <v>1168</v>
      </c>
      <c r="L991" s="1" t="s">
        <v>298</v>
      </c>
      <c r="N991" s="1" t="s">
        <v>1218</v>
      </c>
      <c r="P991" s="1" t="s">
        <v>5204</v>
      </c>
      <c r="Q991" s="3">
        <v>0</v>
      </c>
      <c r="S991" s="23" t="s">
        <v>5949</v>
      </c>
      <c r="T991" s="23" t="s">
        <v>4931</v>
      </c>
      <c r="U991" s="3">
        <v>34</v>
      </c>
      <c r="W991" s="45" t="str">
        <f>HYPERLINK("http://ictvonline.org/taxonomy/p/taxonomy-history?taxnode_id=201855634","ICTVonline=201855634")</f>
        <v>ICTVonline=201855634</v>
      </c>
      <c r="AA991" s="1">
        <v>201850000</v>
      </c>
      <c r="AB991" s="1">
        <v>34</v>
      </c>
    </row>
    <row r="992" spans="1:28" x14ac:dyDescent="0.15">
      <c r="A992" s="1">
        <v>2744</v>
      </c>
      <c r="B992" s="1" t="s">
        <v>7159</v>
      </c>
      <c r="J992" s="1" t="s">
        <v>1168</v>
      </c>
      <c r="L992" s="1" t="s">
        <v>298</v>
      </c>
      <c r="N992" s="1" t="s">
        <v>1218</v>
      </c>
      <c r="P992" s="1" t="s">
        <v>2196</v>
      </c>
      <c r="Q992" s="3">
        <v>0</v>
      </c>
      <c r="S992" s="23" t="s">
        <v>5949</v>
      </c>
      <c r="T992" s="23" t="s">
        <v>4931</v>
      </c>
      <c r="U992" s="3">
        <v>34</v>
      </c>
      <c r="W992" s="45" t="str">
        <f>HYPERLINK("http://ictvonline.org/taxonomy/p/taxonomy-history?taxnode_id=201852193","ICTVonline=201852193")</f>
        <v>ICTVonline=201852193</v>
      </c>
      <c r="AA992" s="1">
        <v>201850000</v>
      </c>
      <c r="AB992" s="1">
        <v>34</v>
      </c>
    </row>
    <row r="993" spans="1:28" x14ac:dyDescent="0.15">
      <c r="A993" s="1">
        <v>2746</v>
      </c>
      <c r="B993" s="1" t="s">
        <v>7159</v>
      </c>
      <c r="J993" s="1" t="s">
        <v>1168</v>
      </c>
      <c r="L993" s="1" t="s">
        <v>298</v>
      </c>
      <c r="N993" s="1" t="s">
        <v>1218</v>
      </c>
      <c r="P993" s="1" t="s">
        <v>229</v>
      </c>
      <c r="Q993" s="3">
        <v>0</v>
      </c>
      <c r="S993" s="23" t="s">
        <v>5949</v>
      </c>
      <c r="T993" s="23" t="s">
        <v>4931</v>
      </c>
      <c r="U993" s="3">
        <v>34</v>
      </c>
      <c r="W993" s="45" t="str">
        <f>HYPERLINK("http://ictvonline.org/taxonomy/p/taxonomy-history?taxnode_id=201852194","ICTVonline=201852194")</f>
        <v>ICTVonline=201852194</v>
      </c>
      <c r="AA993" s="1">
        <v>201850000</v>
      </c>
      <c r="AB993" s="1">
        <v>34</v>
      </c>
    </row>
    <row r="994" spans="1:28" x14ac:dyDescent="0.15">
      <c r="A994" s="1">
        <v>2748</v>
      </c>
      <c r="B994" s="1" t="s">
        <v>7159</v>
      </c>
      <c r="J994" s="1" t="s">
        <v>1168</v>
      </c>
      <c r="L994" s="1" t="s">
        <v>298</v>
      </c>
      <c r="N994" s="1" t="s">
        <v>1218</v>
      </c>
      <c r="P994" s="1" t="s">
        <v>230</v>
      </c>
      <c r="Q994" s="3">
        <v>0</v>
      </c>
      <c r="S994" s="23" t="s">
        <v>5949</v>
      </c>
      <c r="T994" s="23" t="s">
        <v>4931</v>
      </c>
      <c r="U994" s="3">
        <v>34</v>
      </c>
      <c r="W994" s="45" t="str">
        <f>HYPERLINK("http://ictvonline.org/taxonomy/p/taxonomy-history?taxnode_id=201852195","ICTVonline=201852195")</f>
        <v>ICTVonline=201852195</v>
      </c>
      <c r="AA994" s="1">
        <v>201850000</v>
      </c>
      <c r="AB994" s="1">
        <v>34</v>
      </c>
    </row>
    <row r="995" spans="1:28" x14ac:dyDescent="0.15">
      <c r="A995" s="1">
        <v>2750</v>
      </c>
      <c r="B995" s="1" t="s">
        <v>7159</v>
      </c>
      <c r="J995" s="1" t="s">
        <v>1168</v>
      </c>
      <c r="L995" s="1" t="s">
        <v>298</v>
      </c>
      <c r="N995" s="1" t="s">
        <v>1218</v>
      </c>
      <c r="P995" s="1" t="s">
        <v>231</v>
      </c>
      <c r="Q995" s="3">
        <v>0</v>
      </c>
      <c r="S995" s="23" t="s">
        <v>5949</v>
      </c>
      <c r="T995" s="23" t="s">
        <v>4931</v>
      </c>
      <c r="U995" s="3">
        <v>34</v>
      </c>
      <c r="W995" s="45" t="str">
        <f>HYPERLINK("http://ictvonline.org/taxonomy/p/taxonomy-history?taxnode_id=201852196","ICTVonline=201852196")</f>
        <v>ICTVonline=201852196</v>
      </c>
      <c r="AA995" s="1">
        <v>201850000</v>
      </c>
      <c r="AB995" s="1">
        <v>34</v>
      </c>
    </row>
    <row r="996" spans="1:28" x14ac:dyDescent="0.15">
      <c r="A996" s="1">
        <v>2752</v>
      </c>
      <c r="B996" s="1" t="s">
        <v>7159</v>
      </c>
      <c r="J996" s="1" t="s">
        <v>1168</v>
      </c>
      <c r="L996" s="1" t="s">
        <v>298</v>
      </c>
      <c r="N996" s="1" t="s">
        <v>1218</v>
      </c>
      <c r="P996" s="1" t="s">
        <v>232</v>
      </c>
      <c r="Q996" s="3">
        <v>0</v>
      </c>
      <c r="S996" s="23" t="s">
        <v>5949</v>
      </c>
      <c r="T996" s="23" t="s">
        <v>4931</v>
      </c>
      <c r="U996" s="3">
        <v>34</v>
      </c>
      <c r="W996" s="45" t="str">
        <f>HYPERLINK("http://ictvonline.org/taxonomy/p/taxonomy-history?taxnode_id=201852197","ICTVonline=201852197")</f>
        <v>ICTVonline=201852197</v>
      </c>
      <c r="AA996" s="1">
        <v>201850000</v>
      </c>
      <c r="AB996" s="1">
        <v>34</v>
      </c>
    </row>
    <row r="997" spans="1:28" x14ac:dyDescent="0.15">
      <c r="A997" s="1">
        <v>2754</v>
      </c>
      <c r="B997" s="1" t="s">
        <v>7159</v>
      </c>
      <c r="J997" s="1" t="s">
        <v>1168</v>
      </c>
      <c r="L997" s="1" t="s">
        <v>298</v>
      </c>
      <c r="N997" s="1" t="s">
        <v>1218</v>
      </c>
      <c r="P997" s="1" t="s">
        <v>233</v>
      </c>
      <c r="Q997" s="3">
        <v>0</v>
      </c>
      <c r="S997" s="23" t="s">
        <v>5949</v>
      </c>
      <c r="T997" s="23" t="s">
        <v>4931</v>
      </c>
      <c r="U997" s="3">
        <v>34</v>
      </c>
      <c r="W997" s="45" t="str">
        <f>HYPERLINK("http://ictvonline.org/taxonomy/p/taxonomy-history?taxnode_id=201852198","ICTVonline=201852198")</f>
        <v>ICTVonline=201852198</v>
      </c>
      <c r="AA997" s="1">
        <v>201850000</v>
      </c>
      <c r="AB997" s="1">
        <v>34</v>
      </c>
    </row>
    <row r="998" spans="1:28" x14ac:dyDescent="0.15">
      <c r="A998" s="1">
        <v>2756</v>
      </c>
      <c r="B998" s="1" t="s">
        <v>7159</v>
      </c>
      <c r="J998" s="1" t="s">
        <v>1168</v>
      </c>
      <c r="L998" s="1" t="s">
        <v>298</v>
      </c>
      <c r="N998" s="1" t="s">
        <v>1218</v>
      </c>
      <c r="P998" s="1" t="s">
        <v>234</v>
      </c>
      <c r="Q998" s="3">
        <v>0</v>
      </c>
      <c r="S998" s="23" t="s">
        <v>5949</v>
      </c>
      <c r="T998" s="23" t="s">
        <v>4931</v>
      </c>
      <c r="U998" s="3">
        <v>34</v>
      </c>
      <c r="W998" s="45" t="str">
        <f>HYPERLINK("http://ictvonline.org/taxonomy/p/taxonomy-history?taxnode_id=201852199","ICTVonline=201852199")</f>
        <v>ICTVonline=201852199</v>
      </c>
      <c r="AA998" s="1">
        <v>201850000</v>
      </c>
      <c r="AB998" s="1">
        <v>34</v>
      </c>
    </row>
    <row r="999" spans="1:28" x14ac:dyDescent="0.15">
      <c r="A999" s="1">
        <v>2758</v>
      </c>
      <c r="B999" s="1" t="s">
        <v>7159</v>
      </c>
      <c r="J999" s="1" t="s">
        <v>1168</v>
      </c>
      <c r="L999" s="1" t="s">
        <v>298</v>
      </c>
      <c r="N999" s="1" t="s">
        <v>1218</v>
      </c>
      <c r="P999" s="1" t="s">
        <v>235</v>
      </c>
      <c r="Q999" s="3">
        <v>0</v>
      </c>
      <c r="S999" s="23" t="s">
        <v>5949</v>
      </c>
      <c r="T999" s="23" t="s">
        <v>4931</v>
      </c>
      <c r="U999" s="3">
        <v>34</v>
      </c>
      <c r="W999" s="45" t="str">
        <f>HYPERLINK("http://ictvonline.org/taxonomy/p/taxonomy-history?taxnode_id=201852200","ICTVonline=201852200")</f>
        <v>ICTVonline=201852200</v>
      </c>
      <c r="AA999" s="1">
        <v>201850000</v>
      </c>
      <c r="AB999" s="1">
        <v>34</v>
      </c>
    </row>
    <row r="1000" spans="1:28" x14ac:dyDescent="0.15">
      <c r="A1000" s="1">
        <v>2760</v>
      </c>
      <c r="B1000" s="1" t="s">
        <v>7159</v>
      </c>
      <c r="J1000" s="1" t="s">
        <v>1168</v>
      </c>
      <c r="L1000" s="1" t="s">
        <v>298</v>
      </c>
      <c r="N1000" s="1" t="s">
        <v>1218</v>
      </c>
      <c r="P1000" s="1" t="s">
        <v>236</v>
      </c>
      <c r="Q1000" s="3">
        <v>0</v>
      </c>
      <c r="S1000" s="23" t="s">
        <v>5949</v>
      </c>
      <c r="T1000" s="23" t="s">
        <v>4931</v>
      </c>
      <c r="U1000" s="3">
        <v>34</v>
      </c>
      <c r="W1000" s="45" t="str">
        <f>HYPERLINK("http://ictvonline.org/taxonomy/p/taxonomy-history?taxnode_id=201852201","ICTVonline=201852201")</f>
        <v>ICTVonline=201852201</v>
      </c>
      <c r="AA1000" s="1">
        <v>201850000</v>
      </c>
      <c r="AB1000" s="1">
        <v>34</v>
      </c>
    </row>
    <row r="1001" spans="1:28" x14ac:dyDescent="0.15">
      <c r="A1001" s="1">
        <v>2762</v>
      </c>
      <c r="B1001" s="1" t="s">
        <v>7159</v>
      </c>
      <c r="J1001" s="1" t="s">
        <v>1168</v>
      </c>
      <c r="L1001" s="1" t="s">
        <v>298</v>
      </c>
      <c r="N1001" s="1" t="s">
        <v>1218</v>
      </c>
      <c r="P1001" s="1" t="s">
        <v>237</v>
      </c>
      <c r="Q1001" s="3">
        <v>0</v>
      </c>
      <c r="S1001" s="23" t="s">
        <v>5949</v>
      </c>
      <c r="T1001" s="23" t="s">
        <v>4931</v>
      </c>
      <c r="U1001" s="3">
        <v>34</v>
      </c>
      <c r="W1001" s="45" t="str">
        <f>HYPERLINK("http://ictvonline.org/taxonomy/p/taxonomy-history?taxnode_id=201852202","ICTVonline=201852202")</f>
        <v>ICTVonline=201852202</v>
      </c>
      <c r="AA1001" s="1">
        <v>201850000</v>
      </c>
      <c r="AB1001" s="1">
        <v>34</v>
      </c>
    </row>
    <row r="1002" spans="1:28" x14ac:dyDescent="0.15">
      <c r="A1002" s="1">
        <v>2764</v>
      </c>
      <c r="B1002" s="1" t="s">
        <v>7159</v>
      </c>
      <c r="J1002" s="1" t="s">
        <v>1168</v>
      </c>
      <c r="L1002" s="1" t="s">
        <v>298</v>
      </c>
      <c r="N1002" s="1" t="s">
        <v>1218</v>
      </c>
      <c r="P1002" s="1" t="s">
        <v>238</v>
      </c>
      <c r="Q1002" s="3">
        <v>0</v>
      </c>
      <c r="S1002" s="23" t="s">
        <v>5949</v>
      </c>
      <c r="T1002" s="23" t="s">
        <v>4931</v>
      </c>
      <c r="U1002" s="3">
        <v>34</v>
      </c>
      <c r="W1002" s="45" t="str">
        <f>HYPERLINK("http://ictvonline.org/taxonomy/p/taxonomy-history?taxnode_id=201852203","ICTVonline=201852203")</f>
        <v>ICTVonline=201852203</v>
      </c>
      <c r="AA1002" s="1">
        <v>201850000</v>
      </c>
      <c r="AB1002" s="1">
        <v>34</v>
      </c>
    </row>
    <row r="1003" spans="1:28" x14ac:dyDescent="0.15">
      <c r="A1003" s="1">
        <v>2766</v>
      </c>
      <c r="B1003" s="1" t="s">
        <v>7159</v>
      </c>
      <c r="J1003" s="1" t="s">
        <v>1168</v>
      </c>
      <c r="L1003" s="1" t="s">
        <v>298</v>
      </c>
      <c r="N1003" s="1" t="s">
        <v>1218</v>
      </c>
      <c r="P1003" s="1" t="s">
        <v>1449</v>
      </c>
      <c r="Q1003" s="3">
        <v>0</v>
      </c>
      <c r="S1003" s="23" t="s">
        <v>5949</v>
      </c>
      <c r="T1003" s="23" t="s">
        <v>4931</v>
      </c>
      <c r="U1003" s="3">
        <v>34</v>
      </c>
      <c r="W1003" s="45" t="str">
        <f>HYPERLINK("http://ictvonline.org/taxonomy/p/taxonomy-history?taxnode_id=201852204","ICTVonline=201852204")</f>
        <v>ICTVonline=201852204</v>
      </c>
      <c r="AA1003" s="1">
        <v>201850000</v>
      </c>
      <c r="AB1003" s="1">
        <v>34</v>
      </c>
    </row>
    <row r="1004" spans="1:28" x14ac:dyDescent="0.15">
      <c r="A1004" s="1">
        <v>2768</v>
      </c>
      <c r="B1004" s="1" t="s">
        <v>7159</v>
      </c>
      <c r="J1004" s="1" t="s">
        <v>1168</v>
      </c>
      <c r="L1004" s="1" t="s">
        <v>298</v>
      </c>
      <c r="N1004" s="1" t="s">
        <v>1218</v>
      </c>
      <c r="P1004" s="1" t="s">
        <v>1450</v>
      </c>
      <c r="Q1004" s="3">
        <v>0</v>
      </c>
      <c r="S1004" s="23" t="s">
        <v>5949</v>
      </c>
      <c r="T1004" s="23" t="s">
        <v>4931</v>
      </c>
      <c r="U1004" s="3">
        <v>34</v>
      </c>
      <c r="W1004" s="45" t="str">
        <f>HYPERLINK("http://ictvonline.org/taxonomy/p/taxonomy-history?taxnode_id=201852205","ICTVonline=201852205")</f>
        <v>ICTVonline=201852205</v>
      </c>
      <c r="AA1004" s="1">
        <v>201850000</v>
      </c>
      <c r="AB1004" s="1">
        <v>34</v>
      </c>
    </row>
    <row r="1005" spans="1:28" x14ac:dyDescent="0.15">
      <c r="A1005" s="1">
        <v>2770</v>
      </c>
      <c r="B1005" s="1" t="s">
        <v>7159</v>
      </c>
      <c r="J1005" s="1" t="s">
        <v>1168</v>
      </c>
      <c r="L1005" s="1" t="s">
        <v>298</v>
      </c>
      <c r="N1005" s="1" t="s">
        <v>1218</v>
      </c>
      <c r="P1005" s="1" t="s">
        <v>2197</v>
      </c>
      <c r="Q1005" s="3">
        <v>0</v>
      </c>
      <c r="S1005" s="23" t="s">
        <v>5949</v>
      </c>
      <c r="T1005" s="23" t="s">
        <v>4931</v>
      </c>
      <c r="U1005" s="3">
        <v>34</v>
      </c>
      <c r="W1005" s="45" t="str">
        <f>HYPERLINK("http://ictvonline.org/taxonomy/p/taxonomy-history?taxnode_id=201852206","ICTVonline=201852206")</f>
        <v>ICTVonline=201852206</v>
      </c>
      <c r="AA1005" s="1">
        <v>201850000</v>
      </c>
      <c r="AB1005" s="1">
        <v>34</v>
      </c>
    </row>
    <row r="1006" spans="1:28" x14ac:dyDescent="0.15">
      <c r="A1006" s="1">
        <v>2772</v>
      </c>
      <c r="B1006" s="1" t="s">
        <v>7159</v>
      </c>
      <c r="J1006" s="1" t="s">
        <v>1168</v>
      </c>
      <c r="L1006" s="1" t="s">
        <v>298</v>
      </c>
      <c r="N1006" s="1" t="s">
        <v>1218</v>
      </c>
      <c r="P1006" s="1" t="s">
        <v>2024</v>
      </c>
      <c r="Q1006" s="3">
        <v>0</v>
      </c>
      <c r="S1006" s="23" t="s">
        <v>5949</v>
      </c>
      <c r="T1006" s="23" t="s">
        <v>4931</v>
      </c>
      <c r="U1006" s="3">
        <v>34</v>
      </c>
      <c r="W1006" s="45" t="str">
        <f>HYPERLINK("http://ictvonline.org/taxonomy/p/taxonomy-history?taxnode_id=201852207","ICTVonline=201852207")</f>
        <v>ICTVonline=201852207</v>
      </c>
      <c r="AA1006" s="1">
        <v>201850000</v>
      </c>
      <c r="AB1006" s="1">
        <v>34</v>
      </c>
    </row>
    <row r="1007" spans="1:28" x14ac:dyDescent="0.15">
      <c r="A1007" s="1">
        <v>2774</v>
      </c>
      <c r="B1007" s="1" t="s">
        <v>7159</v>
      </c>
      <c r="J1007" s="1" t="s">
        <v>1168</v>
      </c>
      <c r="L1007" s="1" t="s">
        <v>298</v>
      </c>
      <c r="N1007" s="1" t="s">
        <v>1218</v>
      </c>
      <c r="P1007" s="1" t="s">
        <v>455</v>
      </c>
      <c r="Q1007" s="3">
        <v>0</v>
      </c>
      <c r="S1007" s="23" t="s">
        <v>5949</v>
      </c>
      <c r="T1007" s="23" t="s">
        <v>4931</v>
      </c>
      <c r="U1007" s="3">
        <v>34</v>
      </c>
      <c r="W1007" s="45" t="str">
        <f>HYPERLINK("http://ictvonline.org/taxonomy/p/taxonomy-history?taxnode_id=201852208","ICTVonline=201852208")</f>
        <v>ICTVonline=201852208</v>
      </c>
      <c r="AA1007" s="1">
        <v>201850000</v>
      </c>
      <c r="AB1007" s="1">
        <v>34</v>
      </c>
    </row>
    <row r="1008" spans="1:28" x14ac:dyDescent="0.15">
      <c r="A1008" s="1">
        <v>2776</v>
      </c>
      <c r="B1008" s="1" t="s">
        <v>7159</v>
      </c>
      <c r="J1008" s="1" t="s">
        <v>1168</v>
      </c>
      <c r="L1008" s="1" t="s">
        <v>298</v>
      </c>
      <c r="N1008" s="1" t="s">
        <v>1218</v>
      </c>
      <c r="P1008" s="1" t="s">
        <v>2119</v>
      </c>
      <c r="Q1008" s="3">
        <v>0</v>
      </c>
      <c r="S1008" s="23" t="s">
        <v>5949</v>
      </c>
      <c r="T1008" s="23" t="s">
        <v>4931</v>
      </c>
      <c r="U1008" s="3">
        <v>34</v>
      </c>
      <c r="W1008" s="45" t="str">
        <f>HYPERLINK("http://ictvonline.org/taxonomy/p/taxonomy-history?taxnode_id=201852209","ICTVonline=201852209")</f>
        <v>ICTVonline=201852209</v>
      </c>
      <c r="AA1008" s="1">
        <v>201850000</v>
      </c>
      <c r="AB1008" s="1">
        <v>34</v>
      </c>
    </row>
    <row r="1009" spans="1:28" x14ac:dyDescent="0.15">
      <c r="A1009" s="1">
        <v>2778</v>
      </c>
      <c r="B1009" s="1" t="s">
        <v>7159</v>
      </c>
      <c r="J1009" s="1" t="s">
        <v>1168</v>
      </c>
      <c r="L1009" s="1" t="s">
        <v>298</v>
      </c>
      <c r="N1009" s="1" t="s">
        <v>1218</v>
      </c>
      <c r="P1009" s="1" t="s">
        <v>456</v>
      </c>
      <c r="Q1009" s="3">
        <v>0</v>
      </c>
      <c r="S1009" s="23" t="s">
        <v>5949</v>
      </c>
      <c r="T1009" s="23" t="s">
        <v>4931</v>
      </c>
      <c r="U1009" s="3">
        <v>34</v>
      </c>
      <c r="W1009" s="45" t="str">
        <f>HYPERLINK("http://ictvonline.org/taxonomy/p/taxonomy-history?taxnode_id=201852210","ICTVonline=201852210")</f>
        <v>ICTVonline=201852210</v>
      </c>
      <c r="AA1009" s="1">
        <v>201850000</v>
      </c>
      <c r="AB1009" s="1">
        <v>34</v>
      </c>
    </row>
    <row r="1010" spans="1:28" x14ac:dyDescent="0.15">
      <c r="A1010" s="1">
        <v>2780</v>
      </c>
      <c r="B1010" s="1" t="s">
        <v>7159</v>
      </c>
      <c r="J1010" s="1" t="s">
        <v>1168</v>
      </c>
      <c r="L1010" s="1" t="s">
        <v>298</v>
      </c>
      <c r="N1010" s="1" t="s">
        <v>1218</v>
      </c>
      <c r="P1010" s="1" t="s">
        <v>457</v>
      </c>
      <c r="Q1010" s="3">
        <v>0</v>
      </c>
      <c r="S1010" s="23" t="s">
        <v>5949</v>
      </c>
      <c r="T1010" s="23" t="s">
        <v>4931</v>
      </c>
      <c r="U1010" s="3">
        <v>34</v>
      </c>
      <c r="W1010" s="45" t="str">
        <f>HYPERLINK("http://ictvonline.org/taxonomy/p/taxonomy-history?taxnode_id=201852211","ICTVonline=201852211")</f>
        <v>ICTVonline=201852211</v>
      </c>
      <c r="AA1010" s="1">
        <v>201850000</v>
      </c>
      <c r="AB1010" s="1">
        <v>34</v>
      </c>
    </row>
    <row r="1011" spans="1:28" x14ac:dyDescent="0.15">
      <c r="A1011" s="1">
        <v>2782</v>
      </c>
      <c r="B1011" s="1" t="s">
        <v>7159</v>
      </c>
      <c r="J1011" s="1" t="s">
        <v>1168</v>
      </c>
      <c r="L1011" s="1" t="s">
        <v>298</v>
      </c>
      <c r="N1011" s="1" t="s">
        <v>1218</v>
      </c>
      <c r="P1011" s="1" t="s">
        <v>458</v>
      </c>
      <c r="Q1011" s="3">
        <v>0</v>
      </c>
      <c r="S1011" s="23" t="s">
        <v>5949</v>
      </c>
      <c r="T1011" s="23" t="s">
        <v>4931</v>
      </c>
      <c r="U1011" s="3">
        <v>34</v>
      </c>
      <c r="W1011" s="45" t="str">
        <f>HYPERLINK("http://ictvonline.org/taxonomy/p/taxonomy-history?taxnode_id=201852212","ICTVonline=201852212")</f>
        <v>ICTVonline=201852212</v>
      </c>
      <c r="AA1011" s="1">
        <v>201850000</v>
      </c>
      <c r="AB1011" s="1">
        <v>34</v>
      </c>
    </row>
    <row r="1012" spans="1:28" x14ac:dyDescent="0.15">
      <c r="A1012" s="1">
        <v>2784</v>
      </c>
      <c r="B1012" s="1" t="s">
        <v>7159</v>
      </c>
      <c r="J1012" s="1" t="s">
        <v>1168</v>
      </c>
      <c r="L1012" s="1" t="s">
        <v>298</v>
      </c>
      <c r="N1012" s="1" t="s">
        <v>1218</v>
      </c>
      <c r="P1012" s="1" t="s">
        <v>459</v>
      </c>
      <c r="Q1012" s="3">
        <v>0</v>
      </c>
      <c r="S1012" s="23" t="s">
        <v>5949</v>
      </c>
      <c r="T1012" s="23" t="s">
        <v>4931</v>
      </c>
      <c r="U1012" s="3">
        <v>34</v>
      </c>
      <c r="W1012" s="45" t="str">
        <f>HYPERLINK("http://ictvonline.org/taxonomy/p/taxonomy-history?taxnode_id=201852213","ICTVonline=201852213")</f>
        <v>ICTVonline=201852213</v>
      </c>
      <c r="AA1012" s="1">
        <v>201850000</v>
      </c>
      <c r="AB1012" s="1">
        <v>34</v>
      </c>
    </row>
    <row r="1013" spans="1:28" x14ac:dyDescent="0.15">
      <c r="A1013" s="1">
        <v>2786</v>
      </c>
      <c r="B1013" s="1" t="s">
        <v>7159</v>
      </c>
      <c r="J1013" s="1" t="s">
        <v>1168</v>
      </c>
      <c r="L1013" s="1" t="s">
        <v>298</v>
      </c>
      <c r="N1013" s="1" t="s">
        <v>1218</v>
      </c>
      <c r="P1013" s="1" t="s">
        <v>460</v>
      </c>
      <c r="Q1013" s="3">
        <v>0</v>
      </c>
      <c r="S1013" s="23" t="s">
        <v>5949</v>
      </c>
      <c r="T1013" s="23" t="s">
        <v>4931</v>
      </c>
      <c r="U1013" s="3">
        <v>34</v>
      </c>
      <c r="W1013" s="45" t="str">
        <f>HYPERLINK("http://ictvonline.org/taxonomy/p/taxonomy-history?taxnode_id=201852214","ICTVonline=201852214")</f>
        <v>ICTVonline=201852214</v>
      </c>
      <c r="AA1013" s="1">
        <v>201850000</v>
      </c>
      <c r="AB1013" s="1">
        <v>34</v>
      </c>
    </row>
    <row r="1014" spans="1:28" x14ac:dyDescent="0.15">
      <c r="A1014" s="1">
        <v>2788</v>
      </c>
      <c r="B1014" s="1" t="s">
        <v>7159</v>
      </c>
      <c r="J1014" s="1" t="s">
        <v>1168</v>
      </c>
      <c r="L1014" s="1" t="s">
        <v>298</v>
      </c>
      <c r="N1014" s="1" t="s">
        <v>1218</v>
      </c>
      <c r="P1014" s="1" t="s">
        <v>1442</v>
      </c>
      <c r="Q1014" s="3">
        <v>0</v>
      </c>
      <c r="S1014" s="23" t="s">
        <v>5949</v>
      </c>
      <c r="T1014" s="23" t="s">
        <v>4931</v>
      </c>
      <c r="U1014" s="3">
        <v>34</v>
      </c>
      <c r="W1014" s="45" t="str">
        <f>HYPERLINK("http://ictvonline.org/taxonomy/p/taxonomy-history?taxnode_id=201852215","ICTVonline=201852215")</f>
        <v>ICTVonline=201852215</v>
      </c>
      <c r="AA1014" s="1">
        <v>201850000</v>
      </c>
      <c r="AB1014" s="1">
        <v>34</v>
      </c>
    </row>
    <row r="1015" spans="1:28" x14ac:dyDescent="0.15">
      <c r="A1015" s="1">
        <v>2790</v>
      </c>
      <c r="B1015" s="1" t="s">
        <v>7159</v>
      </c>
      <c r="J1015" s="1" t="s">
        <v>1168</v>
      </c>
      <c r="L1015" s="1" t="s">
        <v>298</v>
      </c>
      <c r="N1015" s="1" t="s">
        <v>1218</v>
      </c>
      <c r="P1015" s="1" t="s">
        <v>2120</v>
      </c>
      <c r="Q1015" s="3">
        <v>0</v>
      </c>
      <c r="S1015" s="23" t="s">
        <v>5949</v>
      </c>
      <c r="T1015" s="23" t="s">
        <v>4931</v>
      </c>
      <c r="U1015" s="3">
        <v>34</v>
      </c>
      <c r="W1015" s="45" t="str">
        <f>HYPERLINK("http://ictvonline.org/taxonomy/p/taxonomy-history?taxnode_id=201852216","ICTVonline=201852216")</f>
        <v>ICTVonline=201852216</v>
      </c>
      <c r="AA1015" s="1">
        <v>201850000</v>
      </c>
      <c r="AB1015" s="1">
        <v>34</v>
      </c>
    </row>
    <row r="1016" spans="1:28" x14ac:dyDescent="0.15">
      <c r="A1016" s="1">
        <v>2792</v>
      </c>
      <c r="B1016" s="1" t="s">
        <v>7159</v>
      </c>
      <c r="J1016" s="1" t="s">
        <v>1168</v>
      </c>
      <c r="L1016" s="1" t="s">
        <v>298</v>
      </c>
      <c r="N1016" s="1" t="s">
        <v>1218</v>
      </c>
      <c r="P1016" s="1" t="s">
        <v>5205</v>
      </c>
      <c r="Q1016" s="3">
        <v>0</v>
      </c>
      <c r="S1016" s="23" t="s">
        <v>5949</v>
      </c>
      <c r="T1016" s="23" t="s">
        <v>4931</v>
      </c>
      <c r="U1016" s="3">
        <v>34</v>
      </c>
      <c r="W1016" s="45" t="str">
        <f>HYPERLINK("http://ictvonline.org/taxonomy/p/taxonomy-history?taxnode_id=201855635","ICTVonline=201855635")</f>
        <v>ICTVonline=201855635</v>
      </c>
      <c r="AA1016" s="1">
        <v>201850000</v>
      </c>
      <c r="AB1016" s="1">
        <v>34</v>
      </c>
    </row>
    <row r="1017" spans="1:28" x14ac:dyDescent="0.15">
      <c r="A1017" s="1">
        <v>2794</v>
      </c>
      <c r="B1017" s="1" t="s">
        <v>7159</v>
      </c>
      <c r="J1017" s="1" t="s">
        <v>1168</v>
      </c>
      <c r="L1017" s="1" t="s">
        <v>298</v>
      </c>
      <c r="N1017" s="1" t="s">
        <v>1218</v>
      </c>
      <c r="P1017" s="1" t="s">
        <v>1443</v>
      </c>
      <c r="Q1017" s="3">
        <v>0</v>
      </c>
      <c r="S1017" s="23" t="s">
        <v>5949</v>
      </c>
      <c r="T1017" s="23" t="s">
        <v>4931</v>
      </c>
      <c r="U1017" s="3">
        <v>34</v>
      </c>
      <c r="W1017" s="45" t="str">
        <f>HYPERLINK("http://ictvonline.org/taxonomy/p/taxonomy-history?taxnode_id=201852217","ICTVonline=201852217")</f>
        <v>ICTVonline=201852217</v>
      </c>
      <c r="AA1017" s="1">
        <v>201850000</v>
      </c>
      <c r="AB1017" s="1">
        <v>34</v>
      </c>
    </row>
    <row r="1018" spans="1:28" x14ac:dyDescent="0.15">
      <c r="A1018" s="1">
        <v>2796</v>
      </c>
      <c r="B1018" s="1" t="s">
        <v>7159</v>
      </c>
      <c r="J1018" s="1" t="s">
        <v>1168</v>
      </c>
      <c r="L1018" s="1" t="s">
        <v>298</v>
      </c>
      <c r="N1018" s="1" t="s">
        <v>1218</v>
      </c>
      <c r="P1018" s="1" t="s">
        <v>1444</v>
      </c>
      <c r="Q1018" s="3">
        <v>0</v>
      </c>
      <c r="S1018" s="23" t="s">
        <v>5949</v>
      </c>
      <c r="T1018" s="23" t="s">
        <v>4931</v>
      </c>
      <c r="U1018" s="3">
        <v>34</v>
      </c>
      <c r="W1018" s="45" t="str">
        <f>HYPERLINK("http://ictvonline.org/taxonomy/p/taxonomy-history?taxnode_id=201852218","ICTVonline=201852218")</f>
        <v>ICTVonline=201852218</v>
      </c>
      <c r="AA1018" s="1">
        <v>201850000</v>
      </c>
      <c r="AB1018" s="1">
        <v>34</v>
      </c>
    </row>
    <row r="1019" spans="1:28" x14ac:dyDescent="0.15">
      <c r="A1019" s="1">
        <v>2798</v>
      </c>
      <c r="B1019" s="1" t="s">
        <v>7159</v>
      </c>
      <c r="J1019" s="1" t="s">
        <v>1168</v>
      </c>
      <c r="L1019" s="1" t="s">
        <v>298</v>
      </c>
      <c r="N1019" s="1" t="s">
        <v>1218</v>
      </c>
      <c r="P1019" s="1" t="s">
        <v>1445</v>
      </c>
      <c r="Q1019" s="3">
        <v>0</v>
      </c>
      <c r="S1019" s="23" t="s">
        <v>5949</v>
      </c>
      <c r="T1019" s="23" t="s">
        <v>4931</v>
      </c>
      <c r="U1019" s="3">
        <v>34</v>
      </c>
      <c r="W1019" s="45" t="str">
        <f>HYPERLINK("http://ictvonline.org/taxonomy/p/taxonomy-history?taxnode_id=201852219","ICTVonline=201852219")</f>
        <v>ICTVonline=201852219</v>
      </c>
      <c r="AA1019" s="1">
        <v>201850000</v>
      </c>
      <c r="AB1019" s="1">
        <v>34</v>
      </c>
    </row>
    <row r="1020" spans="1:28" x14ac:dyDescent="0.15">
      <c r="A1020" s="1">
        <v>2800</v>
      </c>
      <c r="B1020" s="1" t="s">
        <v>7159</v>
      </c>
      <c r="J1020" s="1" t="s">
        <v>1168</v>
      </c>
      <c r="L1020" s="1" t="s">
        <v>298</v>
      </c>
      <c r="N1020" s="1" t="s">
        <v>1218</v>
      </c>
      <c r="P1020" s="1" t="s">
        <v>1446</v>
      </c>
      <c r="Q1020" s="3">
        <v>1</v>
      </c>
      <c r="S1020" s="23" t="s">
        <v>5949</v>
      </c>
      <c r="T1020" s="23" t="s">
        <v>4931</v>
      </c>
      <c r="U1020" s="3">
        <v>34</v>
      </c>
      <c r="W1020" s="45" t="str">
        <f>HYPERLINK("http://ictvonline.org/taxonomy/p/taxonomy-history?taxnode_id=201852220","ICTVonline=201852220")</f>
        <v>ICTVonline=201852220</v>
      </c>
      <c r="AA1020" s="1">
        <v>201850000</v>
      </c>
      <c r="AB1020" s="1">
        <v>34</v>
      </c>
    </row>
    <row r="1021" spans="1:28" x14ac:dyDescent="0.15">
      <c r="A1021" s="1">
        <v>2802</v>
      </c>
      <c r="B1021" s="1" t="s">
        <v>7159</v>
      </c>
      <c r="J1021" s="1" t="s">
        <v>1168</v>
      </c>
      <c r="L1021" s="1" t="s">
        <v>298</v>
      </c>
      <c r="N1021" s="1" t="s">
        <v>1218</v>
      </c>
      <c r="P1021" s="1" t="s">
        <v>1447</v>
      </c>
      <c r="Q1021" s="3">
        <v>0</v>
      </c>
      <c r="S1021" s="23" t="s">
        <v>5949</v>
      </c>
      <c r="T1021" s="23" t="s">
        <v>4931</v>
      </c>
      <c r="U1021" s="3">
        <v>34</v>
      </c>
      <c r="W1021" s="45" t="str">
        <f>HYPERLINK("http://ictvonline.org/taxonomy/p/taxonomy-history?taxnode_id=201852221","ICTVonline=201852221")</f>
        <v>ICTVonline=201852221</v>
      </c>
      <c r="AA1021" s="1">
        <v>201850000</v>
      </c>
      <c r="AB1021" s="1">
        <v>34</v>
      </c>
    </row>
    <row r="1022" spans="1:28" x14ac:dyDescent="0.15">
      <c r="A1022" s="1">
        <v>2804</v>
      </c>
      <c r="B1022" s="1" t="s">
        <v>7159</v>
      </c>
      <c r="J1022" s="1" t="s">
        <v>1168</v>
      </c>
      <c r="L1022" s="1" t="s">
        <v>298</v>
      </c>
      <c r="N1022" s="1" t="s">
        <v>1218</v>
      </c>
      <c r="P1022" s="1" t="s">
        <v>1454</v>
      </c>
      <c r="Q1022" s="3">
        <v>0</v>
      </c>
      <c r="S1022" s="23" t="s">
        <v>5949</v>
      </c>
      <c r="T1022" s="23" t="s">
        <v>4931</v>
      </c>
      <c r="U1022" s="3">
        <v>34</v>
      </c>
      <c r="W1022" s="45" t="str">
        <f>HYPERLINK("http://ictvonline.org/taxonomy/p/taxonomy-history?taxnode_id=201852222","ICTVonline=201852222")</f>
        <v>ICTVonline=201852222</v>
      </c>
      <c r="AA1022" s="1">
        <v>201850000</v>
      </c>
      <c r="AB1022" s="1">
        <v>34</v>
      </c>
    </row>
    <row r="1023" spans="1:28" x14ac:dyDescent="0.15">
      <c r="A1023" s="1">
        <v>2806</v>
      </c>
      <c r="B1023" s="1" t="s">
        <v>7159</v>
      </c>
      <c r="J1023" s="1" t="s">
        <v>1168</v>
      </c>
      <c r="L1023" s="1" t="s">
        <v>298</v>
      </c>
      <c r="N1023" s="1" t="s">
        <v>1218</v>
      </c>
      <c r="P1023" s="1" t="s">
        <v>1455</v>
      </c>
      <c r="Q1023" s="3">
        <v>0</v>
      </c>
      <c r="S1023" s="23" t="s">
        <v>5949</v>
      </c>
      <c r="T1023" s="23" t="s">
        <v>4931</v>
      </c>
      <c r="U1023" s="3">
        <v>34</v>
      </c>
      <c r="W1023" s="45" t="str">
        <f>HYPERLINK("http://ictvonline.org/taxonomy/p/taxonomy-history?taxnode_id=201852223","ICTVonline=201852223")</f>
        <v>ICTVonline=201852223</v>
      </c>
      <c r="AA1023" s="1">
        <v>201850000</v>
      </c>
      <c r="AB1023" s="1">
        <v>34</v>
      </c>
    </row>
    <row r="1024" spans="1:28" x14ac:dyDescent="0.15">
      <c r="A1024" s="1">
        <v>2808</v>
      </c>
      <c r="B1024" s="1" t="s">
        <v>7159</v>
      </c>
      <c r="J1024" s="1" t="s">
        <v>1168</v>
      </c>
      <c r="L1024" s="1" t="s">
        <v>298</v>
      </c>
      <c r="N1024" s="1" t="s">
        <v>1218</v>
      </c>
      <c r="P1024" s="1" t="s">
        <v>1451</v>
      </c>
      <c r="Q1024" s="3">
        <v>0</v>
      </c>
      <c r="S1024" s="23" t="s">
        <v>5949</v>
      </c>
      <c r="T1024" s="23" t="s">
        <v>4931</v>
      </c>
      <c r="U1024" s="3">
        <v>34</v>
      </c>
      <c r="W1024" s="45" t="str">
        <f>HYPERLINK("http://ictvonline.org/taxonomy/p/taxonomy-history?taxnode_id=201852224","ICTVonline=201852224")</f>
        <v>ICTVonline=201852224</v>
      </c>
      <c r="AA1024" s="1">
        <v>201850000</v>
      </c>
      <c r="AB1024" s="1">
        <v>34</v>
      </c>
    </row>
    <row r="1025" spans="1:28" x14ac:dyDescent="0.15">
      <c r="A1025" s="1">
        <v>2810</v>
      </c>
      <c r="B1025" s="1" t="s">
        <v>7159</v>
      </c>
      <c r="J1025" s="1" t="s">
        <v>1168</v>
      </c>
      <c r="L1025" s="1" t="s">
        <v>298</v>
      </c>
      <c r="N1025" s="1" t="s">
        <v>1218</v>
      </c>
      <c r="P1025" s="1" t="s">
        <v>5206</v>
      </c>
      <c r="Q1025" s="3">
        <v>0</v>
      </c>
      <c r="S1025" s="23" t="s">
        <v>5949</v>
      </c>
      <c r="T1025" s="23" t="s">
        <v>4931</v>
      </c>
      <c r="U1025" s="3">
        <v>34</v>
      </c>
      <c r="W1025" s="45" t="str">
        <f>HYPERLINK("http://ictvonline.org/taxonomy/p/taxonomy-history?taxnode_id=201855636","ICTVonline=201855636")</f>
        <v>ICTVonline=201855636</v>
      </c>
      <c r="AA1025" s="1">
        <v>201850000</v>
      </c>
      <c r="AB1025" s="1">
        <v>34</v>
      </c>
    </row>
    <row r="1026" spans="1:28" x14ac:dyDescent="0.15">
      <c r="A1026" s="1">
        <v>2812</v>
      </c>
      <c r="B1026" s="1" t="s">
        <v>7159</v>
      </c>
      <c r="J1026" s="1" t="s">
        <v>1168</v>
      </c>
      <c r="L1026" s="1" t="s">
        <v>298</v>
      </c>
      <c r="N1026" s="1" t="s">
        <v>1218</v>
      </c>
      <c r="P1026" s="1" t="s">
        <v>1452</v>
      </c>
      <c r="Q1026" s="3">
        <v>0</v>
      </c>
      <c r="S1026" s="23" t="s">
        <v>5949</v>
      </c>
      <c r="T1026" s="23" t="s">
        <v>4931</v>
      </c>
      <c r="U1026" s="3">
        <v>34</v>
      </c>
      <c r="W1026" s="45" t="str">
        <f>HYPERLINK("http://ictvonline.org/taxonomy/p/taxonomy-history?taxnode_id=201852225","ICTVonline=201852225")</f>
        <v>ICTVonline=201852225</v>
      </c>
      <c r="AA1026" s="1">
        <v>201850000</v>
      </c>
      <c r="AB1026" s="1">
        <v>34</v>
      </c>
    </row>
    <row r="1027" spans="1:28" x14ac:dyDescent="0.15">
      <c r="A1027" s="1">
        <v>2814</v>
      </c>
      <c r="B1027" s="1" t="s">
        <v>7159</v>
      </c>
      <c r="J1027" s="1" t="s">
        <v>1168</v>
      </c>
      <c r="L1027" s="1" t="s">
        <v>298</v>
      </c>
      <c r="N1027" s="1" t="s">
        <v>1218</v>
      </c>
      <c r="P1027" s="1" t="s">
        <v>3658</v>
      </c>
      <c r="Q1027" s="3">
        <v>0</v>
      </c>
      <c r="S1027" s="23" t="s">
        <v>5949</v>
      </c>
      <c r="T1027" s="23" t="s">
        <v>4931</v>
      </c>
      <c r="U1027" s="3">
        <v>34</v>
      </c>
      <c r="W1027" s="45" t="str">
        <f>HYPERLINK("http://ictvonline.org/taxonomy/p/taxonomy-history?taxnode_id=201852226","ICTVonline=201852226")</f>
        <v>ICTVonline=201852226</v>
      </c>
      <c r="AA1027" s="1">
        <v>201850000</v>
      </c>
      <c r="AB1027" s="1">
        <v>34</v>
      </c>
    </row>
    <row r="1028" spans="1:28" x14ac:dyDescent="0.15">
      <c r="A1028" s="1">
        <v>2816</v>
      </c>
      <c r="B1028" s="1" t="s">
        <v>7159</v>
      </c>
      <c r="J1028" s="1" t="s">
        <v>1168</v>
      </c>
      <c r="L1028" s="1" t="s">
        <v>298</v>
      </c>
      <c r="N1028" s="1" t="s">
        <v>1218</v>
      </c>
      <c r="P1028" s="1" t="s">
        <v>1453</v>
      </c>
      <c r="Q1028" s="3">
        <v>0</v>
      </c>
      <c r="S1028" s="23" t="s">
        <v>5949</v>
      </c>
      <c r="T1028" s="23" t="s">
        <v>4931</v>
      </c>
      <c r="U1028" s="3">
        <v>34</v>
      </c>
      <c r="W1028" s="45" t="str">
        <f>HYPERLINK("http://ictvonline.org/taxonomy/p/taxonomy-history?taxnode_id=201852227","ICTVonline=201852227")</f>
        <v>ICTVonline=201852227</v>
      </c>
      <c r="AA1028" s="1">
        <v>201850000</v>
      </c>
      <c r="AB1028" s="1">
        <v>34</v>
      </c>
    </row>
    <row r="1029" spans="1:28" x14ac:dyDescent="0.15">
      <c r="A1029" s="1">
        <v>2820</v>
      </c>
      <c r="B1029" s="1" t="s">
        <v>7159</v>
      </c>
      <c r="J1029" s="1" t="s">
        <v>1168</v>
      </c>
      <c r="L1029" s="1" t="s">
        <v>298</v>
      </c>
      <c r="N1029" s="1" t="s">
        <v>1689</v>
      </c>
      <c r="P1029" s="1" t="s">
        <v>1512</v>
      </c>
      <c r="Q1029" s="3">
        <v>1</v>
      </c>
      <c r="S1029" s="23" t="s">
        <v>5949</v>
      </c>
      <c r="T1029" s="23" t="s">
        <v>4931</v>
      </c>
      <c r="U1029" s="3">
        <v>34</v>
      </c>
      <c r="W1029" s="45" t="str">
        <f>HYPERLINK("http://ictvonline.org/taxonomy/p/taxonomy-history?taxnode_id=201852229","ICTVonline=201852229")</f>
        <v>ICTVonline=201852229</v>
      </c>
      <c r="AA1029" s="1">
        <v>201850000</v>
      </c>
      <c r="AB1029" s="1">
        <v>34</v>
      </c>
    </row>
    <row r="1030" spans="1:28" x14ac:dyDescent="0.15">
      <c r="A1030" s="1">
        <v>2827</v>
      </c>
      <c r="B1030" s="1" t="s">
        <v>7159</v>
      </c>
      <c r="J1030" s="1" t="s">
        <v>1168</v>
      </c>
      <c r="L1030" s="1" t="s">
        <v>1169</v>
      </c>
      <c r="M1030" s="1" t="s">
        <v>3659</v>
      </c>
      <c r="N1030" s="1" t="s">
        <v>421</v>
      </c>
      <c r="P1030" s="1" t="s">
        <v>422</v>
      </c>
      <c r="Q1030" s="3">
        <v>0</v>
      </c>
      <c r="S1030" s="23" t="s">
        <v>5949</v>
      </c>
      <c r="T1030" s="23" t="s">
        <v>4931</v>
      </c>
      <c r="U1030" s="3">
        <v>34</v>
      </c>
      <c r="W1030" s="45" t="str">
        <f>HYPERLINK("http://ictvonline.org/taxonomy/p/taxonomy-history?taxnode_id=201852235","ICTVonline=201852235")</f>
        <v>ICTVonline=201852235</v>
      </c>
      <c r="AA1030" s="1">
        <v>201850000</v>
      </c>
      <c r="AB1030" s="1">
        <v>34</v>
      </c>
    </row>
    <row r="1031" spans="1:28" x14ac:dyDescent="0.15">
      <c r="A1031" s="1">
        <v>2829</v>
      </c>
      <c r="B1031" s="1" t="s">
        <v>7159</v>
      </c>
      <c r="J1031" s="1" t="s">
        <v>1168</v>
      </c>
      <c r="L1031" s="1" t="s">
        <v>1169</v>
      </c>
      <c r="M1031" s="1" t="s">
        <v>3659</v>
      </c>
      <c r="N1031" s="1" t="s">
        <v>421</v>
      </c>
      <c r="P1031" s="1" t="s">
        <v>423</v>
      </c>
      <c r="Q1031" s="3">
        <v>0</v>
      </c>
      <c r="S1031" s="23" t="s">
        <v>5949</v>
      </c>
      <c r="T1031" s="23" t="s">
        <v>4931</v>
      </c>
      <c r="U1031" s="3">
        <v>34</v>
      </c>
      <c r="W1031" s="45" t="str">
        <f>HYPERLINK("http://ictvonline.org/taxonomy/p/taxonomy-history?taxnode_id=201852236","ICTVonline=201852236")</f>
        <v>ICTVonline=201852236</v>
      </c>
      <c r="AA1031" s="1">
        <v>201850000</v>
      </c>
      <c r="AB1031" s="1">
        <v>34</v>
      </c>
    </row>
    <row r="1032" spans="1:28" x14ac:dyDescent="0.15">
      <c r="A1032" s="1">
        <v>2831</v>
      </c>
      <c r="B1032" s="1" t="s">
        <v>7159</v>
      </c>
      <c r="J1032" s="1" t="s">
        <v>1168</v>
      </c>
      <c r="L1032" s="1" t="s">
        <v>1169</v>
      </c>
      <c r="M1032" s="1" t="s">
        <v>3659</v>
      </c>
      <c r="N1032" s="1" t="s">
        <v>421</v>
      </c>
      <c r="P1032" s="1" t="s">
        <v>5207</v>
      </c>
      <c r="Q1032" s="3">
        <v>0</v>
      </c>
      <c r="S1032" s="23" t="s">
        <v>5949</v>
      </c>
      <c r="T1032" s="23" t="s">
        <v>4931</v>
      </c>
      <c r="U1032" s="3">
        <v>34</v>
      </c>
      <c r="W1032" s="45" t="str">
        <f>HYPERLINK("http://ictvonline.org/taxonomy/p/taxonomy-history?taxnode_id=201855637","ICTVonline=201855637")</f>
        <v>ICTVonline=201855637</v>
      </c>
      <c r="AA1032" s="1">
        <v>201850000</v>
      </c>
      <c r="AB1032" s="1">
        <v>34</v>
      </c>
    </row>
    <row r="1033" spans="1:28" x14ac:dyDescent="0.15">
      <c r="A1033" s="1">
        <v>2833</v>
      </c>
      <c r="B1033" s="1" t="s">
        <v>7159</v>
      </c>
      <c r="J1033" s="1" t="s">
        <v>1168</v>
      </c>
      <c r="L1033" s="1" t="s">
        <v>1169</v>
      </c>
      <c r="M1033" s="1" t="s">
        <v>3659</v>
      </c>
      <c r="N1033" s="1" t="s">
        <v>421</v>
      </c>
      <c r="P1033" s="1" t="s">
        <v>424</v>
      </c>
      <c r="Q1033" s="3">
        <v>0</v>
      </c>
      <c r="S1033" s="23" t="s">
        <v>5949</v>
      </c>
      <c r="T1033" s="23" t="s">
        <v>4931</v>
      </c>
      <c r="U1033" s="3">
        <v>34</v>
      </c>
      <c r="W1033" s="45" t="str">
        <f>HYPERLINK("http://ictvonline.org/taxonomy/p/taxonomy-history?taxnode_id=201852237","ICTVonline=201852237")</f>
        <v>ICTVonline=201852237</v>
      </c>
      <c r="AA1033" s="1">
        <v>201850000</v>
      </c>
      <c r="AB1033" s="1">
        <v>34</v>
      </c>
    </row>
    <row r="1034" spans="1:28" x14ac:dyDescent="0.15">
      <c r="A1034" s="1">
        <v>2835</v>
      </c>
      <c r="B1034" s="1" t="s">
        <v>7159</v>
      </c>
      <c r="J1034" s="1" t="s">
        <v>1168</v>
      </c>
      <c r="L1034" s="1" t="s">
        <v>1169</v>
      </c>
      <c r="M1034" s="1" t="s">
        <v>3659</v>
      </c>
      <c r="N1034" s="1" t="s">
        <v>421</v>
      </c>
      <c r="P1034" s="1" t="s">
        <v>2199</v>
      </c>
      <c r="Q1034" s="3">
        <v>0</v>
      </c>
      <c r="S1034" s="23" t="s">
        <v>5949</v>
      </c>
      <c r="T1034" s="23" t="s">
        <v>4931</v>
      </c>
      <c r="U1034" s="3">
        <v>34</v>
      </c>
      <c r="W1034" s="45" t="str">
        <f>HYPERLINK("http://ictvonline.org/taxonomy/p/taxonomy-history?taxnode_id=201852238","ICTVonline=201852238")</f>
        <v>ICTVonline=201852238</v>
      </c>
      <c r="AA1034" s="1">
        <v>201850000</v>
      </c>
      <c r="AB1034" s="1">
        <v>34</v>
      </c>
    </row>
    <row r="1035" spans="1:28" x14ac:dyDescent="0.15">
      <c r="A1035" s="1">
        <v>2837</v>
      </c>
      <c r="B1035" s="1" t="s">
        <v>7159</v>
      </c>
      <c r="J1035" s="1" t="s">
        <v>1168</v>
      </c>
      <c r="L1035" s="1" t="s">
        <v>1169</v>
      </c>
      <c r="M1035" s="1" t="s">
        <v>3659</v>
      </c>
      <c r="N1035" s="1" t="s">
        <v>421</v>
      </c>
      <c r="P1035" s="1" t="s">
        <v>425</v>
      </c>
      <c r="Q1035" s="3">
        <v>0</v>
      </c>
      <c r="S1035" s="23" t="s">
        <v>5949</v>
      </c>
      <c r="T1035" s="23" t="s">
        <v>4931</v>
      </c>
      <c r="U1035" s="3">
        <v>34</v>
      </c>
      <c r="W1035" s="45" t="str">
        <f>HYPERLINK("http://ictvonline.org/taxonomy/p/taxonomy-history?taxnode_id=201852239","ICTVonline=201852239")</f>
        <v>ICTVonline=201852239</v>
      </c>
      <c r="AA1035" s="1">
        <v>201850000</v>
      </c>
      <c r="AB1035" s="1">
        <v>34</v>
      </c>
    </row>
    <row r="1036" spans="1:28" x14ac:dyDescent="0.15">
      <c r="A1036" s="1">
        <v>2839</v>
      </c>
      <c r="B1036" s="1" t="s">
        <v>7159</v>
      </c>
      <c r="J1036" s="1" t="s">
        <v>1168</v>
      </c>
      <c r="L1036" s="1" t="s">
        <v>1169</v>
      </c>
      <c r="M1036" s="1" t="s">
        <v>3659</v>
      </c>
      <c r="N1036" s="1" t="s">
        <v>421</v>
      </c>
      <c r="P1036" s="1" t="s">
        <v>426</v>
      </c>
      <c r="Q1036" s="3">
        <v>0</v>
      </c>
      <c r="S1036" s="23" t="s">
        <v>5949</v>
      </c>
      <c r="T1036" s="23" t="s">
        <v>4931</v>
      </c>
      <c r="U1036" s="3">
        <v>34</v>
      </c>
      <c r="W1036" s="45" t="str">
        <f>HYPERLINK("http://ictvonline.org/taxonomy/p/taxonomy-history?taxnode_id=201852240","ICTVonline=201852240")</f>
        <v>ICTVonline=201852240</v>
      </c>
      <c r="AA1036" s="1">
        <v>201850000</v>
      </c>
      <c r="AB1036" s="1">
        <v>34</v>
      </c>
    </row>
    <row r="1037" spans="1:28" x14ac:dyDescent="0.15">
      <c r="A1037" s="1">
        <v>2841</v>
      </c>
      <c r="B1037" s="1" t="s">
        <v>7159</v>
      </c>
      <c r="J1037" s="1" t="s">
        <v>1168</v>
      </c>
      <c r="L1037" s="1" t="s">
        <v>1169</v>
      </c>
      <c r="M1037" s="1" t="s">
        <v>3659</v>
      </c>
      <c r="N1037" s="1" t="s">
        <v>421</v>
      </c>
      <c r="P1037" s="1" t="s">
        <v>295</v>
      </c>
      <c r="Q1037" s="3">
        <v>1</v>
      </c>
      <c r="S1037" s="23" t="s">
        <v>5949</v>
      </c>
      <c r="T1037" s="23" t="s">
        <v>4931</v>
      </c>
      <c r="U1037" s="3">
        <v>34</v>
      </c>
      <c r="W1037" s="45" t="str">
        <f>HYPERLINK("http://ictvonline.org/taxonomy/p/taxonomy-history?taxnode_id=201852241","ICTVonline=201852241")</f>
        <v>ICTVonline=201852241</v>
      </c>
      <c r="AA1037" s="1">
        <v>201850000</v>
      </c>
      <c r="AB1037" s="1">
        <v>34</v>
      </c>
    </row>
    <row r="1038" spans="1:28" x14ac:dyDescent="0.15">
      <c r="A1038" s="1">
        <v>2843</v>
      </c>
      <c r="B1038" s="1" t="s">
        <v>7159</v>
      </c>
      <c r="J1038" s="1" t="s">
        <v>1168</v>
      </c>
      <c r="L1038" s="1" t="s">
        <v>1169</v>
      </c>
      <c r="M1038" s="1" t="s">
        <v>3659</v>
      </c>
      <c r="N1038" s="1" t="s">
        <v>421</v>
      </c>
      <c r="P1038" s="1" t="s">
        <v>2037</v>
      </c>
      <c r="Q1038" s="3">
        <v>0</v>
      </c>
      <c r="S1038" s="23" t="s">
        <v>5949</v>
      </c>
      <c r="T1038" s="23" t="s">
        <v>4931</v>
      </c>
      <c r="U1038" s="3">
        <v>34</v>
      </c>
      <c r="W1038" s="45" t="str">
        <f>HYPERLINK("http://ictvonline.org/taxonomy/p/taxonomy-history?taxnode_id=201852242","ICTVonline=201852242")</f>
        <v>ICTVonline=201852242</v>
      </c>
      <c r="AA1038" s="1">
        <v>201850000</v>
      </c>
      <c r="AB1038" s="1">
        <v>34</v>
      </c>
    </row>
    <row r="1039" spans="1:28" x14ac:dyDescent="0.15">
      <c r="A1039" s="1">
        <v>2845</v>
      </c>
      <c r="B1039" s="1" t="s">
        <v>7159</v>
      </c>
      <c r="J1039" s="1" t="s">
        <v>1168</v>
      </c>
      <c r="L1039" s="1" t="s">
        <v>1169</v>
      </c>
      <c r="M1039" s="1" t="s">
        <v>3659</v>
      </c>
      <c r="N1039" s="1" t="s">
        <v>421</v>
      </c>
      <c r="P1039" s="1" t="s">
        <v>2038</v>
      </c>
      <c r="Q1039" s="3">
        <v>0</v>
      </c>
      <c r="S1039" s="23" t="s">
        <v>5949</v>
      </c>
      <c r="T1039" s="23" t="s">
        <v>4931</v>
      </c>
      <c r="U1039" s="3">
        <v>34</v>
      </c>
      <c r="W1039" s="45" t="str">
        <f>HYPERLINK("http://ictvonline.org/taxonomy/p/taxonomy-history?taxnode_id=201852243","ICTVonline=201852243")</f>
        <v>ICTVonline=201852243</v>
      </c>
      <c r="AA1039" s="1">
        <v>201850000</v>
      </c>
      <c r="AB1039" s="1">
        <v>34</v>
      </c>
    </row>
    <row r="1040" spans="1:28" x14ac:dyDescent="0.15">
      <c r="A1040" s="1">
        <v>2847</v>
      </c>
      <c r="B1040" s="1" t="s">
        <v>7159</v>
      </c>
      <c r="J1040" s="1" t="s">
        <v>1168</v>
      </c>
      <c r="L1040" s="1" t="s">
        <v>1169</v>
      </c>
      <c r="M1040" s="1" t="s">
        <v>3659</v>
      </c>
      <c r="N1040" s="1" t="s">
        <v>421</v>
      </c>
      <c r="P1040" s="1" t="s">
        <v>2117</v>
      </c>
      <c r="Q1040" s="3">
        <v>0</v>
      </c>
      <c r="S1040" s="23" t="s">
        <v>5949</v>
      </c>
      <c r="T1040" s="23" t="s">
        <v>4931</v>
      </c>
      <c r="U1040" s="3">
        <v>34</v>
      </c>
      <c r="W1040" s="45" t="str">
        <f>HYPERLINK("http://ictvonline.org/taxonomy/p/taxonomy-history?taxnode_id=201852244","ICTVonline=201852244")</f>
        <v>ICTVonline=201852244</v>
      </c>
      <c r="AA1040" s="1">
        <v>201850000</v>
      </c>
      <c r="AB1040" s="1">
        <v>34</v>
      </c>
    </row>
    <row r="1041" spans="1:28" x14ac:dyDescent="0.15">
      <c r="A1041" s="1">
        <v>2849</v>
      </c>
      <c r="B1041" s="1" t="s">
        <v>7159</v>
      </c>
      <c r="J1041" s="1" t="s">
        <v>1168</v>
      </c>
      <c r="L1041" s="1" t="s">
        <v>1169</v>
      </c>
      <c r="M1041" s="1" t="s">
        <v>3659</v>
      </c>
      <c r="N1041" s="1" t="s">
        <v>421</v>
      </c>
      <c r="P1041" s="1" t="s">
        <v>1944</v>
      </c>
      <c r="Q1041" s="3">
        <v>0</v>
      </c>
      <c r="S1041" s="23" t="s">
        <v>5949</v>
      </c>
      <c r="T1041" s="23" t="s">
        <v>4931</v>
      </c>
      <c r="U1041" s="3">
        <v>34</v>
      </c>
      <c r="W1041" s="45" t="str">
        <f>HYPERLINK("http://ictvonline.org/taxonomy/p/taxonomy-history?taxnode_id=201852245","ICTVonline=201852245")</f>
        <v>ICTVonline=201852245</v>
      </c>
      <c r="AA1041" s="1">
        <v>201850000</v>
      </c>
      <c r="AB1041" s="1">
        <v>34</v>
      </c>
    </row>
    <row r="1042" spans="1:28" x14ac:dyDescent="0.15">
      <c r="A1042" s="1">
        <v>2851</v>
      </c>
      <c r="B1042" s="1" t="s">
        <v>7159</v>
      </c>
      <c r="J1042" s="1" t="s">
        <v>1168</v>
      </c>
      <c r="L1042" s="1" t="s">
        <v>1169</v>
      </c>
      <c r="M1042" s="1" t="s">
        <v>3659</v>
      </c>
      <c r="N1042" s="1" t="s">
        <v>421</v>
      </c>
      <c r="P1042" s="1" t="s">
        <v>2200</v>
      </c>
      <c r="Q1042" s="3">
        <v>0</v>
      </c>
      <c r="S1042" s="23" t="s">
        <v>5949</v>
      </c>
      <c r="T1042" s="23" t="s">
        <v>4931</v>
      </c>
      <c r="U1042" s="3">
        <v>34</v>
      </c>
      <c r="W1042" s="45" t="str">
        <f>HYPERLINK("http://ictvonline.org/taxonomy/p/taxonomy-history?taxnode_id=201852246","ICTVonline=201852246")</f>
        <v>ICTVonline=201852246</v>
      </c>
      <c r="AA1042" s="1">
        <v>201850000</v>
      </c>
      <c r="AB1042" s="1">
        <v>34</v>
      </c>
    </row>
    <row r="1043" spans="1:28" x14ac:dyDescent="0.15">
      <c r="A1043" s="1">
        <v>2853</v>
      </c>
      <c r="B1043" s="1" t="s">
        <v>7159</v>
      </c>
      <c r="J1043" s="1" t="s">
        <v>1168</v>
      </c>
      <c r="L1043" s="1" t="s">
        <v>1169</v>
      </c>
      <c r="M1043" s="1" t="s">
        <v>3659</v>
      </c>
      <c r="N1043" s="1" t="s">
        <v>421</v>
      </c>
      <c r="P1043" s="1" t="s">
        <v>1945</v>
      </c>
      <c r="Q1043" s="3">
        <v>0</v>
      </c>
      <c r="S1043" s="23" t="s">
        <v>5949</v>
      </c>
      <c r="T1043" s="23" t="s">
        <v>4931</v>
      </c>
      <c r="U1043" s="3">
        <v>34</v>
      </c>
      <c r="W1043" s="45" t="str">
        <f>HYPERLINK("http://ictvonline.org/taxonomy/p/taxonomy-history?taxnode_id=201852247","ICTVonline=201852247")</f>
        <v>ICTVonline=201852247</v>
      </c>
      <c r="AA1043" s="1">
        <v>201850000</v>
      </c>
      <c r="AB1043" s="1">
        <v>34</v>
      </c>
    </row>
    <row r="1044" spans="1:28" x14ac:dyDescent="0.15">
      <c r="A1044" s="1">
        <v>2855</v>
      </c>
      <c r="B1044" s="1" t="s">
        <v>7159</v>
      </c>
      <c r="J1044" s="1" t="s">
        <v>1168</v>
      </c>
      <c r="L1044" s="1" t="s">
        <v>1169</v>
      </c>
      <c r="M1044" s="1" t="s">
        <v>3659</v>
      </c>
      <c r="N1044" s="1" t="s">
        <v>421</v>
      </c>
      <c r="P1044" s="1" t="s">
        <v>3660</v>
      </c>
      <c r="Q1044" s="3">
        <v>0</v>
      </c>
      <c r="S1044" s="23" t="s">
        <v>5949</v>
      </c>
      <c r="T1044" s="23" t="s">
        <v>4931</v>
      </c>
      <c r="U1044" s="3">
        <v>34</v>
      </c>
      <c r="W1044" s="45" t="str">
        <f>HYPERLINK("http://ictvonline.org/taxonomy/p/taxonomy-history?taxnode_id=201852248","ICTVonline=201852248")</f>
        <v>ICTVonline=201852248</v>
      </c>
      <c r="AA1044" s="1">
        <v>201850000</v>
      </c>
      <c r="AB1044" s="1">
        <v>34</v>
      </c>
    </row>
    <row r="1045" spans="1:28" x14ac:dyDescent="0.15">
      <c r="A1045" s="1">
        <v>2857</v>
      </c>
      <c r="B1045" s="1" t="s">
        <v>7159</v>
      </c>
      <c r="J1045" s="1" t="s">
        <v>1168</v>
      </c>
      <c r="L1045" s="1" t="s">
        <v>1169</v>
      </c>
      <c r="M1045" s="1" t="s">
        <v>3659</v>
      </c>
      <c r="N1045" s="1" t="s">
        <v>421</v>
      </c>
      <c r="P1045" s="1" t="s">
        <v>1614</v>
      </c>
      <c r="Q1045" s="3">
        <v>0</v>
      </c>
      <c r="S1045" s="23" t="s">
        <v>5949</v>
      </c>
      <c r="T1045" s="23" t="s">
        <v>4931</v>
      </c>
      <c r="U1045" s="3">
        <v>34</v>
      </c>
      <c r="W1045" s="45" t="str">
        <f>HYPERLINK("http://ictvonline.org/taxonomy/p/taxonomy-history?taxnode_id=201852249","ICTVonline=201852249")</f>
        <v>ICTVonline=201852249</v>
      </c>
      <c r="AA1045" s="1">
        <v>201850000</v>
      </c>
      <c r="AB1045" s="1">
        <v>34</v>
      </c>
    </row>
    <row r="1046" spans="1:28" x14ac:dyDescent="0.15">
      <c r="A1046" s="1">
        <v>2859</v>
      </c>
      <c r="B1046" s="1" t="s">
        <v>7159</v>
      </c>
      <c r="J1046" s="1" t="s">
        <v>1168</v>
      </c>
      <c r="L1046" s="1" t="s">
        <v>1169</v>
      </c>
      <c r="M1046" s="1" t="s">
        <v>3659</v>
      </c>
      <c r="N1046" s="1" t="s">
        <v>421</v>
      </c>
      <c r="P1046" s="1" t="s">
        <v>1615</v>
      </c>
      <c r="Q1046" s="3">
        <v>0</v>
      </c>
      <c r="S1046" s="23" t="s">
        <v>5949</v>
      </c>
      <c r="T1046" s="23" t="s">
        <v>4931</v>
      </c>
      <c r="U1046" s="3">
        <v>34</v>
      </c>
      <c r="W1046" s="45" t="str">
        <f>HYPERLINK("http://ictvonline.org/taxonomy/p/taxonomy-history?taxnode_id=201852250","ICTVonline=201852250")</f>
        <v>ICTVonline=201852250</v>
      </c>
      <c r="AA1046" s="1">
        <v>201850000</v>
      </c>
      <c r="AB1046" s="1">
        <v>34</v>
      </c>
    </row>
    <row r="1047" spans="1:28" x14ac:dyDescent="0.15">
      <c r="A1047" s="1">
        <v>2861</v>
      </c>
      <c r="B1047" s="1" t="s">
        <v>7159</v>
      </c>
      <c r="J1047" s="1" t="s">
        <v>1168</v>
      </c>
      <c r="L1047" s="1" t="s">
        <v>1169</v>
      </c>
      <c r="M1047" s="1" t="s">
        <v>3659</v>
      </c>
      <c r="N1047" s="1" t="s">
        <v>421</v>
      </c>
      <c r="P1047" s="1" t="s">
        <v>2201</v>
      </c>
      <c r="Q1047" s="3">
        <v>0</v>
      </c>
      <c r="S1047" s="23" t="s">
        <v>5949</v>
      </c>
      <c r="T1047" s="23" t="s">
        <v>4931</v>
      </c>
      <c r="U1047" s="3">
        <v>34</v>
      </c>
      <c r="W1047" s="45" t="str">
        <f>HYPERLINK("http://ictvonline.org/taxonomy/p/taxonomy-history?taxnode_id=201852251","ICTVonline=201852251")</f>
        <v>ICTVonline=201852251</v>
      </c>
      <c r="AA1047" s="1">
        <v>201850000</v>
      </c>
      <c r="AB1047" s="1">
        <v>34</v>
      </c>
    </row>
    <row r="1048" spans="1:28" x14ac:dyDescent="0.15">
      <c r="A1048" s="1">
        <v>2863</v>
      </c>
      <c r="B1048" s="1" t="s">
        <v>7159</v>
      </c>
      <c r="J1048" s="1" t="s">
        <v>1168</v>
      </c>
      <c r="L1048" s="1" t="s">
        <v>1169</v>
      </c>
      <c r="M1048" s="1" t="s">
        <v>3659</v>
      </c>
      <c r="N1048" s="1" t="s">
        <v>421</v>
      </c>
      <c r="P1048" s="1" t="s">
        <v>1882</v>
      </c>
      <c r="Q1048" s="3">
        <v>0</v>
      </c>
      <c r="S1048" s="23" t="s">
        <v>5949</v>
      </c>
      <c r="T1048" s="23" t="s">
        <v>4931</v>
      </c>
      <c r="U1048" s="3">
        <v>34</v>
      </c>
      <c r="W1048" s="45" t="str">
        <f>HYPERLINK("http://ictvonline.org/taxonomy/p/taxonomy-history?taxnode_id=201852252","ICTVonline=201852252")</f>
        <v>ICTVonline=201852252</v>
      </c>
      <c r="AA1048" s="1">
        <v>201850000</v>
      </c>
      <c r="AB1048" s="1">
        <v>34</v>
      </c>
    </row>
    <row r="1049" spans="1:28" x14ac:dyDescent="0.15">
      <c r="A1049" s="1">
        <v>2865</v>
      </c>
      <c r="B1049" s="1" t="s">
        <v>7159</v>
      </c>
      <c r="J1049" s="1" t="s">
        <v>1168</v>
      </c>
      <c r="L1049" s="1" t="s">
        <v>1169</v>
      </c>
      <c r="M1049" s="1" t="s">
        <v>3659</v>
      </c>
      <c r="N1049" s="1" t="s">
        <v>421</v>
      </c>
      <c r="P1049" s="1" t="s">
        <v>2202</v>
      </c>
      <c r="Q1049" s="3">
        <v>0</v>
      </c>
      <c r="S1049" s="23" t="s">
        <v>5949</v>
      </c>
      <c r="T1049" s="23" t="s">
        <v>4931</v>
      </c>
      <c r="U1049" s="3">
        <v>34</v>
      </c>
      <c r="W1049" s="45" t="str">
        <f>HYPERLINK("http://ictvonline.org/taxonomy/p/taxonomy-history?taxnode_id=201852253","ICTVonline=201852253")</f>
        <v>ICTVonline=201852253</v>
      </c>
      <c r="AA1049" s="1">
        <v>201850000</v>
      </c>
      <c r="AB1049" s="1">
        <v>34</v>
      </c>
    </row>
    <row r="1050" spans="1:28" x14ac:dyDescent="0.15">
      <c r="A1050" s="1">
        <v>2867</v>
      </c>
      <c r="B1050" s="1" t="s">
        <v>7159</v>
      </c>
      <c r="J1050" s="1" t="s">
        <v>1168</v>
      </c>
      <c r="L1050" s="1" t="s">
        <v>1169</v>
      </c>
      <c r="M1050" s="1" t="s">
        <v>3659</v>
      </c>
      <c r="N1050" s="1" t="s">
        <v>421</v>
      </c>
      <c r="P1050" s="1" t="s">
        <v>1616</v>
      </c>
      <c r="Q1050" s="3">
        <v>0</v>
      </c>
      <c r="S1050" s="23" t="s">
        <v>5949</v>
      </c>
      <c r="T1050" s="23" t="s">
        <v>4931</v>
      </c>
      <c r="U1050" s="3">
        <v>34</v>
      </c>
      <c r="W1050" s="45" t="str">
        <f>HYPERLINK("http://ictvonline.org/taxonomy/p/taxonomy-history?taxnode_id=201852254","ICTVonline=201852254")</f>
        <v>ICTVonline=201852254</v>
      </c>
      <c r="AA1050" s="1">
        <v>201850000</v>
      </c>
      <c r="AB1050" s="1">
        <v>34</v>
      </c>
    </row>
    <row r="1051" spans="1:28" x14ac:dyDescent="0.15">
      <c r="A1051" s="1">
        <v>2869</v>
      </c>
      <c r="B1051" s="1" t="s">
        <v>7159</v>
      </c>
      <c r="J1051" s="1" t="s">
        <v>1168</v>
      </c>
      <c r="L1051" s="1" t="s">
        <v>1169</v>
      </c>
      <c r="M1051" s="1" t="s">
        <v>3659</v>
      </c>
      <c r="N1051" s="1" t="s">
        <v>421</v>
      </c>
      <c r="P1051" s="1" t="s">
        <v>1617</v>
      </c>
      <c r="Q1051" s="3">
        <v>0</v>
      </c>
      <c r="S1051" s="23" t="s">
        <v>5949</v>
      </c>
      <c r="T1051" s="23" t="s">
        <v>4931</v>
      </c>
      <c r="U1051" s="3">
        <v>34</v>
      </c>
      <c r="W1051" s="45" t="str">
        <f>HYPERLINK("http://ictvonline.org/taxonomy/p/taxonomy-history?taxnode_id=201852255","ICTVonline=201852255")</f>
        <v>ICTVonline=201852255</v>
      </c>
      <c r="AA1051" s="1">
        <v>201850000</v>
      </c>
      <c r="AB1051" s="1">
        <v>34</v>
      </c>
    </row>
    <row r="1052" spans="1:28" x14ac:dyDescent="0.15">
      <c r="A1052" s="1">
        <v>2871</v>
      </c>
      <c r="B1052" s="1" t="s">
        <v>7159</v>
      </c>
      <c r="J1052" s="1" t="s">
        <v>1168</v>
      </c>
      <c r="L1052" s="1" t="s">
        <v>1169</v>
      </c>
      <c r="M1052" s="1" t="s">
        <v>3659</v>
      </c>
      <c r="N1052" s="1" t="s">
        <v>421</v>
      </c>
      <c r="P1052" s="1" t="s">
        <v>2203</v>
      </c>
      <c r="Q1052" s="3">
        <v>0</v>
      </c>
      <c r="S1052" s="23" t="s">
        <v>5949</v>
      </c>
      <c r="T1052" s="23" t="s">
        <v>4931</v>
      </c>
      <c r="U1052" s="3">
        <v>34</v>
      </c>
      <c r="W1052" s="45" t="str">
        <f>HYPERLINK("http://ictvonline.org/taxonomy/p/taxonomy-history?taxnode_id=201852256","ICTVonline=201852256")</f>
        <v>ICTVonline=201852256</v>
      </c>
      <c r="AA1052" s="1">
        <v>201850000</v>
      </c>
      <c r="AB1052" s="1">
        <v>34</v>
      </c>
    </row>
    <row r="1053" spans="1:28" x14ac:dyDescent="0.15">
      <c r="A1053" s="1">
        <v>2873</v>
      </c>
      <c r="B1053" s="1" t="s">
        <v>7159</v>
      </c>
      <c r="J1053" s="1" t="s">
        <v>1168</v>
      </c>
      <c r="L1053" s="1" t="s">
        <v>1169</v>
      </c>
      <c r="M1053" s="1" t="s">
        <v>3659</v>
      </c>
      <c r="N1053" s="1" t="s">
        <v>421</v>
      </c>
      <c r="P1053" s="1" t="s">
        <v>5208</v>
      </c>
      <c r="Q1053" s="3">
        <v>0</v>
      </c>
      <c r="S1053" s="23" t="s">
        <v>5949</v>
      </c>
      <c r="T1053" s="23" t="s">
        <v>4931</v>
      </c>
      <c r="U1053" s="3">
        <v>34</v>
      </c>
      <c r="W1053" s="45" t="str">
        <f>HYPERLINK("http://ictvonline.org/taxonomy/p/taxonomy-history?taxnode_id=201852257","ICTVonline=201852257")</f>
        <v>ICTVonline=201852257</v>
      </c>
      <c r="AA1053" s="1">
        <v>201850000</v>
      </c>
      <c r="AB1053" s="1">
        <v>34</v>
      </c>
    </row>
    <row r="1054" spans="1:28" x14ac:dyDescent="0.15">
      <c r="A1054" s="1">
        <v>2875</v>
      </c>
      <c r="B1054" s="1" t="s">
        <v>7159</v>
      </c>
      <c r="J1054" s="1" t="s">
        <v>1168</v>
      </c>
      <c r="L1054" s="1" t="s">
        <v>1169</v>
      </c>
      <c r="M1054" s="1" t="s">
        <v>3659</v>
      </c>
      <c r="N1054" s="1" t="s">
        <v>421</v>
      </c>
      <c r="P1054" s="1" t="s">
        <v>2118</v>
      </c>
      <c r="Q1054" s="3">
        <v>0</v>
      </c>
      <c r="S1054" s="23" t="s">
        <v>5949</v>
      </c>
      <c r="T1054" s="23" t="s">
        <v>4931</v>
      </c>
      <c r="U1054" s="3">
        <v>34</v>
      </c>
      <c r="W1054" s="45" t="str">
        <f>HYPERLINK("http://ictvonline.org/taxonomy/p/taxonomy-history?taxnode_id=201852258","ICTVonline=201852258")</f>
        <v>ICTVonline=201852258</v>
      </c>
      <c r="AA1054" s="1">
        <v>201850000</v>
      </c>
      <c r="AB1054" s="1">
        <v>34</v>
      </c>
    </row>
    <row r="1055" spans="1:28" x14ac:dyDescent="0.15">
      <c r="A1055" s="1">
        <v>2877</v>
      </c>
      <c r="B1055" s="1" t="s">
        <v>7159</v>
      </c>
      <c r="J1055" s="1" t="s">
        <v>1168</v>
      </c>
      <c r="L1055" s="1" t="s">
        <v>1169</v>
      </c>
      <c r="M1055" s="1" t="s">
        <v>3659</v>
      </c>
      <c r="N1055" s="1" t="s">
        <v>421</v>
      </c>
      <c r="P1055" s="1" t="s">
        <v>5209</v>
      </c>
      <c r="Q1055" s="3">
        <v>0</v>
      </c>
      <c r="S1055" s="23" t="s">
        <v>5949</v>
      </c>
      <c r="T1055" s="23" t="s">
        <v>4931</v>
      </c>
      <c r="U1055" s="3">
        <v>34</v>
      </c>
      <c r="W1055" s="45" t="str">
        <f>HYPERLINK("http://ictvonline.org/taxonomy/p/taxonomy-history?taxnode_id=201855638","ICTVonline=201855638")</f>
        <v>ICTVonline=201855638</v>
      </c>
      <c r="AA1055" s="1">
        <v>201850000</v>
      </c>
      <c r="AB1055" s="1">
        <v>34</v>
      </c>
    </row>
    <row r="1056" spans="1:28" x14ac:dyDescent="0.15">
      <c r="A1056" s="1">
        <v>2879</v>
      </c>
      <c r="B1056" s="1" t="s">
        <v>7159</v>
      </c>
      <c r="J1056" s="1" t="s">
        <v>1168</v>
      </c>
      <c r="L1056" s="1" t="s">
        <v>1169</v>
      </c>
      <c r="M1056" s="1" t="s">
        <v>3659</v>
      </c>
      <c r="N1056" s="1" t="s">
        <v>421</v>
      </c>
      <c r="P1056" s="1" t="s">
        <v>2039</v>
      </c>
      <c r="Q1056" s="3">
        <v>0</v>
      </c>
      <c r="S1056" s="23" t="s">
        <v>5949</v>
      </c>
      <c r="T1056" s="23" t="s">
        <v>4931</v>
      </c>
      <c r="U1056" s="3">
        <v>34</v>
      </c>
      <c r="W1056" s="45" t="str">
        <f>HYPERLINK("http://ictvonline.org/taxonomy/p/taxonomy-history?taxnode_id=201852259","ICTVonline=201852259")</f>
        <v>ICTVonline=201852259</v>
      </c>
      <c r="AA1056" s="1">
        <v>201850000</v>
      </c>
      <c r="AB1056" s="1">
        <v>34</v>
      </c>
    </row>
    <row r="1057" spans="1:28" x14ac:dyDescent="0.15">
      <c r="A1057" s="1">
        <v>2881</v>
      </c>
      <c r="B1057" s="1" t="s">
        <v>7159</v>
      </c>
      <c r="J1057" s="1" t="s">
        <v>1168</v>
      </c>
      <c r="L1057" s="1" t="s">
        <v>1169</v>
      </c>
      <c r="M1057" s="1" t="s">
        <v>3659</v>
      </c>
      <c r="N1057" s="1" t="s">
        <v>421</v>
      </c>
      <c r="P1057" s="1" t="s">
        <v>2040</v>
      </c>
      <c r="Q1057" s="3">
        <v>0</v>
      </c>
      <c r="S1057" s="23" t="s">
        <v>5949</v>
      </c>
      <c r="T1057" s="23" t="s">
        <v>4931</v>
      </c>
      <c r="U1057" s="3">
        <v>34</v>
      </c>
      <c r="W1057" s="45" t="str">
        <f>HYPERLINK("http://ictvonline.org/taxonomy/p/taxonomy-history?taxnode_id=201852260","ICTVonline=201852260")</f>
        <v>ICTVonline=201852260</v>
      </c>
      <c r="AA1057" s="1">
        <v>201850000</v>
      </c>
      <c r="AB1057" s="1">
        <v>34</v>
      </c>
    </row>
    <row r="1058" spans="1:28" x14ac:dyDescent="0.15">
      <c r="A1058" s="1">
        <v>2883</v>
      </c>
      <c r="B1058" s="1" t="s">
        <v>7159</v>
      </c>
      <c r="J1058" s="1" t="s">
        <v>1168</v>
      </c>
      <c r="L1058" s="1" t="s">
        <v>1169</v>
      </c>
      <c r="M1058" s="1" t="s">
        <v>3659</v>
      </c>
      <c r="N1058" s="1" t="s">
        <v>421</v>
      </c>
      <c r="P1058" s="1" t="s">
        <v>2204</v>
      </c>
      <c r="Q1058" s="3">
        <v>0</v>
      </c>
      <c r="S1058" s="23" t="s">
        <v>5949</v>
      </c>
      <c r="T1058" s="23" t="s">
        <v>4931</v>
      </c>
      <c r="U1058" s="3">
        <v>34</v>
      </c>
      <c r="W1058" s="45" t="str">
        <f>HYPERLINK("http://ictvonline.org/taxonomy/p/taxonomy-history?taxnode_id=201852261","ICTVonline=201852261")</f>
        <v>ICTVonline=201852261</v>
      </c>
      <c r="AA1058" s="1">
        <v>201850000</v>
      </c>
      <c r="AB1058" s="1">
        <v>34</v>
      </c>
    </row>
    <row r="1059" spans="1:28" x14ac:dyDescent="0.15">
      <c r="A1059" s="1">
        <v>2885</v>
      </c>
      <c r="B1059" s="1" t="s">
        <v>7159</v>
      </c>
      <c r="J1059" s="1" t="s">
        <v>1168</v>
      </c>
      <c r="L1059" s="1" t="s">
        <v>1169</v>
      </c>
      <c r="M1059" s="1" t="s">
        <v>3659</v>
      </c>
      <c r="N1059" s="1" t="s">
        <v>421</v>
      </c>
      <c r="P1059" s="1" t="s">
        <v>1946</v>
      </c>
      <c r="Q1059" s="3">
        <v>0</v>
      </c>
      <c r="S1059" s="23" t="s">
        <v>5949</v>
      </c>
      <c r="T1059" s="23" t="s">
        <v>4931</v>
      </c>
      <c r="U1059" s="3">
        <v>34</v>
      </c>
      <c r="W1059" s="45" t="str">
        <f>HYPERLINK("http://ictvonline.org/taxonomy/p/taxonomy-history?taxnode_id=201852262","ICTVonline=201852262")</f>
        <v>ICTVonline=201852262</v>
      </c>
      <c r="AA1059" s="1">
        <v>201850000</v>
      </c>
      <c r="AB1059" s="1">
        <v>34</v>
      </c>
    </row>
    <row r="1060" spans="1:28" x14ac:dyDescent="0.15">
      <c r="A1060" s="1">
        <v>2887</v>
      </c>
      <c r="B1060" s="1" t="s">
        <v>7159</v>
      </c>
      <c r="J1060" s="1" t="s">
        <v>1168</v>
      </c>
      <c r="L1060" s="1" t="s">
        <v>1169</v>
      </c>
      <c r="M1060" s="1" t="s">
        <v>3659</v>
      </c>
      <c r="N1060" s="1" t="s">
        <v>421</v>
      </c>
      <c r="P1060" s="1" t="s">
        <v>1947</v>
      </c>
      <c r="Q1060" s="3">
        <v>0</v>
      </c>
      <c r="S1060" s="23" t="s">
        <v>5949</v>
      </c>
      <c r="T1060" s="23" t="s">
        <v>4931</v>
      </c>
      <c r="U1060" s="3">
        <v>34</v>
      </c>
      <c r="W1060" s="45" t="str">
        <f>HYPERLINK("http://ictvonline.org/taxonomy/p/taxonomy-history?taxnode_id=201852263","ICTVonline=201852263")</f>
        <v>ICTVonline=201852263</v>
      </c>
      <c r="AA1060" s="1">
        <v>201850000</v>
      </c>
      <c r="AB1060" s="1">
        <v>34</v>
      </c>
    </row>
    <row r="1061" spans="1:28" x14ac:dyDescent="0.15">
      <c r="A1061" s="1">
        <v>2889</v>
      </c>
      <c r="B1061" s="1" t="s">
        <v>7159</v>
      </c>
      <c r="J1061" s="1" t="s">
        <v>1168</v>
      </c>
      <c r="L1061" s="1" t="s">
        <v>1169</v>
      </c>
      <c r="M1061" s="1" t="s">
        <v>3659</v>
      </c>
      <c r="N1061" s="1" t="s">
        <v>421</v>
      </c>
      <c r="P1061" s="1" t="s">
        <v>1948</v>
      </c>
      <c r="Q1061" s="3">
        <v>0</v>
      </c>
      <c r="S1061" s="23" t="s">
        <v>5949</v>
      </c>
      <c r="T1061" s="23" t="s">
        <v>4931</v>
      </c>
      <c r="U1061" s="3">
        <v>34</v>
      </c>
      <c r="W1061" s="45" t="str">
        <f>HYPERLINK("http://ictvonline.org/taxonomy/p/taxonomy-history?taxnode_id=201852264","ICTVonline=201852264")</f>
        <v>ICTVonline=201852264</v>
      </c>
      <c r="AA1061" s="1">
        <v>201850000</v>
      </c>
      <c r="AB1061" s="1">
        <v>34</v>
      </c>
    </row>
    <row r="1062" spans="1:28" x14ac:dyDescent="0.15">
      <c r="A1062" s="1">
        <v>2891</v>
      </c>
      <c r="B1062" s="1" t="s">
        <v>7159</v>
      </c>
      <c r="J1062" s="1" t="s">
        <v>1168</v>
      </c>
      <c r="L1062" s="1" t="s">
        <v>1169</v>
      </c>
      <c r="M1062" s="1" t="s">
        <v>3659</v>
      </c>
      <c r="N1062" s="1" t="s">
        <v>421</v>
      </c>
      <c r="P1062" s="1" t="s">
        <v>1949</v>
      </c>
      <c r="Q1062" s="3">
        <v>0</v>
      </c>
      <c r="S1062" s="23" t="s">
        <v>5949</v>
      </c>
      <c r="T1062" s="23" t="s">
        <v>4931</v>
      </c>
      <c r="U1062" s="3">
        <v>34</v>
      </c>
      <c r="W1062" s="45" t="str">
        <f>HYPERLINK("http://ictvonline.org/taxonomy/p/taxonomy-history?taxnode_id=201852265","ICTVonline=201852265")</f>
        <v>ICTVonline=201852265</v>
      </c>
      <c r="AA1062" s="1">
        <v>201850000</v>
      </c>
      <c r="AB1062" s="1">
        <v>34</v>
      </c>
    </row>
    <row r="1063" spans="1:28" x14ac:dyDescent="0.15">
      <c r="A1063" s="1">
        <v>2893</v>
      </c>
      <c r="B1063" s="1" t="s">
        <v>7159</v>
      </c>
      <c r="J1063" s="1" t="s">
        <v>1168</v>
      </c>
      <c r="L1063" s="1" t="s">
        <v>1169</v>
      </c>
      <c r="M1063" s="1" t="s">
        <v>3659</v>
      </c>
      <c r="N1063" s="1" t="s">
        <v>421</v>
      </c>
      <c r="P1063" s="1" t="s">
        <v>2205</v>
      </c>
      <c r="Q1063" s="3">
        <v>0</v>
      </c>
      <c r="S1063" s="23" t="s">
        <v>5949</v>
      </c>
      <c r="T1063" s="23" t="s">
        <v>4931</v>
      </c>
      <c r="U1063" s="3">
        <v>34</v>
      </c>
      <c r="W1063" s="45" t="str">
        <f>HYPERLINK("http://ictvonline.org/taxonomy/p/taxonomy-history?taxnode_id=201852266","ICTVonline=201852266")</f>
        <v>ICTVonline=201852266</v>
      </c>
      <c r="AA1063" s="1">
        <v>201850000</v>
      </c>
      <c r="AB1063" s="1">
        <v>34</v>
      </c>
    </row>
    <row r="1064" spans="1:28" x14ac:dyDescent="0.15">
      <c r="A1064" s="1">
        <v>2895</v>
      </c>
      <c r="B1064" s="1" t="s">
        <v>7159</v>
      </c>
      <c r="J1064" s="1" t="s">
        <v>1168</v>
      </c>
      <c r="L1064" s="1" t="s">
        <v>1169</v>
      </c>
      <c r="M1064" s="1" t="s">
        <v>3659</v>
      </c>
      <c r="N1064" s="1" t="s">
        <v>421</v>
      </c>
      <c r="P1064" s="1" t="s">
        <v>2206</v>
      </c>
      <c r="Q1064" s="3">
        <v>0</v>
      </c>
      <c r="S1064" s="23" t="s">
        <v>5949</v>
      </c>
      <c r="T1064" s="23" t="s">
        <v>4931</v>
      </c>
      <c r="U1064" s="3">
        <v>34</v>
      </c>
      <c r="W1064" s="45" t="str">
        <f>HYPERLINK("http://ictvonline.org/taxonomy/p/taxonomy-history?taxnode_id=201852267","ICTVonline=201852267")</f>
        <v>ICTVonline=201852267</v>
      </c>
      <c r="AA1064" s="1">
        <v>201850000</v>
      </c>
      <c r="AB1064" s="1">
        <v>34</v>
      </c>
    </row>
    <row r="1065" spans="1:28" x14ac:dyDescent="0.15">
      <c r="A1065" s="1">
        <v>2897</v>
      </c>
      <c r="B1065" s="1" t="s">
        <v>7159</v>
      </c>
      <c r="J1065" s="1" t="s">
        <v>1168</v>
      </c>
      <c r="L1065" s="1" t="s">
        <v>1169</v>
      </c>
      <c r="M1065" s="1" t="s">
        <v>3659</v>
      </c>
      <c r="N1065" s="1" t="s">
        <v>421</v>
      </c>
      <c r="P1065" s="1" t="s">
        <v>2207</v>
      </c>
      <c r="Q1065" s="3">
        <v>0</v>
      </c>
      <c r="S1065" s="23" t="s">
        <v>5949</v>
      </c>
      <c r="T1065" s="23" t="s">
        <v>4931</v>
      </c>
      <c r="U1065" s="3">
        <v>34</v>
      </c>
      <c r="W1065" s="45" t="str">
        <f>HYPERLINK("http://ictvonline.org/taxonomy/p/taxonomy-history?taxnode_id=201852268","ICTVonline=201852268")</f>
        <v>ICTVonline=201852268</v>
      </c>
      <c r="AA1065" s="1">
        <v>201850000</v>
      </c>
      <c r="AB1065" s="1">
        <v>34</v>
      </c>
    </row>
    <row r="1066" spans="1:28" x14ac:dyDescent="0.15">
      <c r="A1066" s="1">
        <v>2899</v>
      </c>
      <c r="B1066" s="1" t="s">
        <v>7159</v>
      </c>
      <c r="J1066" s="1" t="s">
        <v>1168</v>
      </c>
      <c r="L1066" s="1" t="s">
        <v>1169</v>
      </c>
      <c r="M1066" s="1" t="s">
        <v>3659</v>
      </c>
      <c r="N1066" s="1" t="s">
        <v>421</v>
      </c>
      <c r="P1066" s="1" t="s">
        <v>1950</v>
      </c>
      <c r="Q1066" s="3">
        <v>0</v>
      </c>
      <c r="S1066" s="23" t="s">
        <v>5949</v>
      </c>
      <c r="T1066" s="23" t="s">
        <v>4931</v>
      </c>
      <c r="U1066" s="3">
        <v>34</v>
      </c>
      <c r="W1066" s="45" t="str">
        <f>HYPERLINK("http://ictvonline.org/taxonomy/p/taxonomy-history?taxnode_id=201852269","ICTVonline=201852269")</f>
        <v>ICTVonline=201852269</v>
      </c>
      <c r="AA1066" s="1">
        <v>201850000</v>
      </c>
      <c r="AB1066" s="1">
        <v>34</v>
      </c>
    </row>
    <row r="1067" spans="1:28" x14ac:dyDescent="0.15">
      <c r="A1067" s="1">
        <v>2901</v>
      </c>
      <c r="B1067" s="1" t="s">
        <v>7159</v>
      </c>
      <c r="J1067" s="1" t="s">
        <v>1168</v>
      </c>
      <c r="L1067" s="1" t="s">
        <v>1169</v>
      </c>
      <c r="M1067" s="1" t="s">
        <v>3659</v>
      </c>
      <c r="N1067" s="1" t="s">
        <v>421</v>
      </c>
      <c r="P1067" s="1" t="s">
        <v>1951</v>
      </c>
      <c r="Q1067" s="3">
        <v>0</v>
      </c>
      <c r="S1067" s="23" t="s">
        <v>5949</v>
      </c>
      <c r="T1067" s="23" t="s">
        <v>4931</v>
      </c>
      <c r="U1067" s="3">
        <v>34</v>
      </c>
      <c r="W1067" s="45" t="str">
        <f>HYPERLINK("http://ictvonline.org/taxonomy/p/taxonomy-history?taxnode_id=201852270","ICTVonline=201852270")</f>
        <v>ICTVonline=201852270</v>
      </c>
      <c r="AA1067" s="1">
        <v>201850000</v>
      </c>
      <c r="AB1067" s="1">
        <v>34</v>
      </c>
    </row>
    <row r="1068" spans="1:28" x14ac:dyDescent="0.15">
      <c r="A1068" s="1">
        <v>2903</v>
      </c>
      <c r="B1068" s="1" t="s">
        <v>7159</v>
      </c>
      <c r="J1068" s="1" t="s">
        <v>1168</v>
      </c>
      <c r="L1068" s="1" t="s">
        <v>1169</v>
      </c>
      <c r="M1068" s="1" t="s">
        <v>3659</v>
      </c>
      <c r="N1068" s="1" t="s">
        <v>421</v>
      </c>
      <c r="P1068" s="1" t="s">
        <v>3661</v>
      </c>
      <c r="Q1068" s="3">
        <v>0</v>
      </c>
      <c r="S1068" s="23" t="s">
        <v>5949</v>
      </c>
      <c r="T1068" s="23" t="s">
        <v>4931</v>
      </c>
      <c r="U1068" s="3">
        <v>34</v>
      </c>
      <c r="W1068" s="45" t="str">
        <f>HYPERLINK("http://ictvonline.org/taxonomy/p/taxonomy-history?taxnode_id=201852271","ICTVonline=201852271")</f>
        <v>ICTVonline=201852271</v>
      </c>
      <c r="AA1068" s="1">
        <v>201850000</v>
      </c>
      <c r="AB1068" s="1">
        <v>34</v>
      </c>
    </row>
    <row r="1069" spans="1:28" x14ac:dyDescent="0.15">
      <c r="A1069" s="1">
        <v>2905</v>
      </c>
      <c r="B1069" s="1" t="s">
        <v>7159</v>
      </c>
      <c r="J1069" s="1" t="s">
        <v>1168</v>
      </c>
      <c r="L1069" s="1" t="s">
        <v>1169</v>
      </c>
      <c r="M1069" s="1" t="s">
        <v>3659</v>
      </c>
      <c r="N1069" s="1" t="s">
        <v>421</v>
      </c>
      <c r="P1069" s="1" t="s">
        <v>1952</v>
      </c>
      <c r="Q1069" s="3">
        <v>0</v>
      </c>
      <c r="S1069" s="23" t="s">
        <v>5949</v>
      </c>
      <c r="T1069" s="23" t="s">
        <v>4931</v>
      </c>
      <c r="U1069" s="3">
        <v>34</v>
      </c>
      <c r="W1069" s="45" t="str">
        <f>HYPERLINK("http://ictvonline.org/taxonomy/p/taxonomy-history?taxnode_id=201852272","ICTVonline=201852272")</f>
        <v>ICTVonline=201852272</v>
      </c>
      <c r="AA1069" s="1">
        <v>201850000</v>
      </c>
      <c r="AB1069" s="1">
        <v>34</v>
      </c>
    </row>
    <row r="1070" spans="1:28" x14ac:dyDescent="0.15">
      <c r="A1070" s="1">
        <v>2907</v>
      </c>
      <c r="B1070" s="1" t="s">
        <v>7159</v>
      </c>
      <c r="J1070" s="1" t="s">
        <v>1168</v>
      </c>
      <c r="L1070" s="1" t="s">
        <v>1169</v>
      </c>
      <c r="M1070" s="1" t="s">
        <v>3659</v>
      </c>
      <c r="N1070" s="1" t="s">
        <v>421</v>
      </c>
      <c r="P1070" s="1" t="s">
        <v>1953</v>
      </c>
      <c r="Q1070" s="3">
        <v>0</v>
      </c>
      <c r="S1070" s="23" t="s">
        <v>5949</v>
      </c>
      <c r="T1070" s="23" t="s">
        <v>4931</v>
      </c>
      <c r="U1070" s="3">
        <v>34</v>
      </c>
      <c r="W1070" s="45" t="str">
        <f>HYPERLINK("http://ictvonline.org/taxonomy/p/taxonomy-history?taxnode_id=201852273","ICTVonline=201852273")</f>
        <v>ICTVonline=201852273</v>
      </c>
      <c r="AA1070" s="1">
        <v>201850000</v>
      </c>
      <c r="AB1070" s="1">
        <v>34</v>
      </c>
    </row>
    <row r="1071" spans="1:28" x14ac:dyDescent="0.15">
      <c r="A1071" s="1">
        <v>2909</v>
      </c>
      <c r="B1071" s="1" t="s">
        <v>7159</v>
      </c>
      <c r="J1071" s="1" t="s">
        <v>1168</v>
      </c>
      <c r="L1071" s="1" t="s">
        <v>1169</v>
      </c>
      <c r="M1071" s="1" t="s">
        <v>3659</v>
      </c>
      <c r="N1071" s="1" t="s">
        <v>421</v>
      </c>
      <c r="P1071" s="1" t="s">
        <v>1954</v>
      </c>
      <c r="Q1071" s="3">
        <v>0</v>
      </c>
      <c r="S1071" s="23" t="s">
        <v>5949</v>
      </c>
      <c r="T1071" s="23" t="s">
        <v>4931</v>
      </c>
      <c r="U1071" s="3">
        <v>34</v>
      </c>
      <c r="W1071" s="45" t="str">
        <f>HYPERLINK("http://ictvonline.org/taxonomy/p/taxonomy-history?taxnode_id=201852274","ICTVonline=201852274")</f>
        <v>ICTVonline=201852274</v>
      </c>
      <c r="AA1071" s="1">
        <v>201850000</v>
      </c>
      <c r="AB1071" s="1">
        <v>34</v>
      </c>
    </row>
    <row r="1072" spans="1:28" x14ac:dyDescent="0.15">
      <c r="A1072" s="1">
        <v>2911</v>
      </c>
      <c r="B1072" s="1" t="s">
        <v>7159</v>
      </c>
      <c r="J1072" s="1" t="s">
        <v>1168</v>
      </c>
      <c r="L1072" s="1" t="s">
        <v>1169</v>
      </c>
      <c r="M1072" s="1" t="s">
        <v>3659</v>
      </c>
      <c r="N1072" s="1" t="s">
        <v>421</v>
      </c>
      <c r="P1072" s="1" t="s">
        <v>1955</v>
      </c>
      <c r="Q1072" s="3">
        <v>0</v>
      </c>
      <c r="S1072" s="23" t="s">
        <v>5949</v>
      </c>
      <c r="T1072" s="23" t="s">
        <v>4931</v>
      </c>
      <c r="U1072" s="3">
        <v>34</v>
      </c>
      <c r="W1072" s="45" t="str">
        <f>HYPERLINK("http://ictvonline.org/taxonomy/p/taxonomy-history?taxnode_id=201852275","ICTVonline=201852275")</f>
        <v>ICTVonline=201852275</v>
      </c>
      <c r="AA1072" s="1">
        <v>201850000</v>
      </c>
      <c r="AB1072" s="1">
        <v>34</v>
      </c>
    </row>
    <row r="1073" spans="1:28" x14ac:dyDescent="0.15">
      <c r="A1073" s="1">
        <v>2913</v>
      </c>
      <c r="B1073" s="1" t="s">
        <v>7159</v>
      </c>
      <c r="J1073" s="1" t="s">
        <v>1168</v>
      </c>
      <c r="L1073" s="1" t="s">
        <v>1169</v>
      </c>
      <c r="M1073" s="1" t="s">
        <v>3659</v>
      </c>
      <c r="N1073" s="1" t="s">
        <v>421</v>
      </c>
      <c r="P1073" s="1" t="s">
        <v>5210</v>
      </c>
      <c r="Q1073" s="3">
        <v>0</v>
      </c>
      <c r="S1073" s="23" t="s">
        <v>5949</v>
      </c>
      <c r="T1073" s="23" t="s">
        <v>4931</v>
      </c>
      <c r="U1073" s="3">
        <v>34</v>
      </c>
      <c r="W1073" s="45" t="str">
        <f>HYPERLINK("http://ictvonline.org/taxonomy/p/taxonomy-history?taxnode_id=201855639","ICTVonline=201855639")</f>
        <v>ICTVonline=201855639</v>
      </c>
      <c r="AA1073" s="1">
        <v>201850000</v>
      </c>
      <c r="AB1073" s="1">
        <v>34</v>
      </c>
    </row>
    <row r="1074" spans="1:28" x14ac:dyDescent="0.15">
      <c r="A1074" s="1">
        <v>2915</v>
      </c>
      <c r="B1074" s="1" t="s">
        <v>7159</v>
      </c>
      <c r="J1074" s="1" t="s">
        <v>1168</v>
      </c>
      <c r="L1074" s="1" t="s">
        <v>1169</v>
      </c>
      <c r="M1074" s="1" t="s">
        <v>3659</v>
      </c>
      <c r="N1074" s="1" t="s">
        <v>421</v>
      </c>
      <c r="P1074" s="1" t="s">
        <v>5211</v>
      </c>
      <c r="Q1074" s="3">
        <v>0</v>
      </c>
      <c r="S1074" s="23" t="s">
        <v>5949</v>
      </c>
      <c r="T1074" s="23" t="s">
        <v>4931</v>
      </c>
      <c r="U1074" s="3">
        <v>34</v>
      </c>
      <c r="W1074" s="45" t="str">
        <f>HYPERLINK("http://ictvonline.org/taxonomy/p/taxonomy-history?taxnode_id=201855640","ICTVonline=201855640")</f>
        <v>ICTVonline=201855640</v>
      </c>
      <c r="AA1074" s="1">
        <v>201850000</v>
      </c>
      <c r="AB1074" s="1">
        <v>34</v>
      </c>
    </row>
    <row r="1075" spans="1:28" x14ac:dyDescent="0.15">
      <c r="A1075" s="1">
        <v>2917</v>
      </c>
      <c r="B1075" s="1" t="s">
        <v>7159</v>
      </c>
      <c r="J1075" s="1" t="s">
        <v>1168</v>
      </c>
      <c r="L1075" s="1" t="s">
        <v>1169</v>
      </c>
      <c r="M1075" s="1" t="s">
        <v>3659</v>
      </c>
      <c r="N1075" s="1" t="s">
        <v>421</v>
      </c>
      <c r="P1075" s="1" t="s">
        <v>5212</v>
      </c>
      <c r="Q1075" s="3">
        <v>0</v>
      </c>
      <c r="S1075" s="23" t="s">
        <v>5949</v>
      </c>
      <c r="T1075" s="23" t="s">
        <v>4931</v>
      </c>
      <c r="U1075" s="3">
        <v>34</v>
      </c>
      <c r="W1075" s="45" t="str">
        <f>HYPERLINK("http://ictvonline.org/taxonomy/p/taxonomy-history?taxnode_id=201855641","ICTVonline=201855641")</f>
        <v>ICTVonline=201855641</v>
      </c>
      <c r="AA1075" s="1">
        <v>201850000</v>
      </c>
      <c r="AB1075" s="1">
        <v>34</v>
      </c>
    </row>
    <row r="1076" spans="1:28" x14ac:dyDescent="0.15">
      <c r="A1076" s="1">
        <v>2919</v>
      </c>
      <c r="B1076" s="1" t="s">
        <v>7159</v>
      </c>
      <c r="J1076" s="1" t="s">
        <v>1168</v>
      </c>
      <c r="L1076" s="1" t="s">
        <v>1169</v>
      </c>
      <c r="M1076" s="1" t="s">
        <v>3659</v>
      </c>
      <c r="N1076" s="1" t="s">
        <v>421</v>
      </c>
      <c r="P1076" s="1" t="s">
        <v>1956</v>
      </c>
      <c r="Q1076" s="3">
        <v>0</v>
      </c>
      <c r="S1076" s="23" t="s">
        <v>5949</v>
      </c>
      <c r="T1076" s="23" t="s">
        <v>4931</v>
      </c>
      <c r="U1076" s="3">
        <v>34</v>
      </c>
      <c r="W1076" s="45" t="str">
        <f>HYPERLINK("http://ictvonline.org/taxonomy/p/taxonomy-history?taxnode_id=201852276","ICTVonline=201852276")</f>
        <v>ICTVonline=201852276</v>
      </c>
      <c r="AA1076" s="1">
        <v>201850000</v>
      </c>
      <c r="AB1076" s="1">
        <v>34</v>
      </c>
    </row>
    <row r="1077" spans="1:28" x14ac:dyDescent="0.15">
      <c r="A1077" s="1">
        <v>2921</v>
      </c>
      <c r="B1077" s="1" t="s">
        <v>7159</v>
      </c>
      <c r="J1077" s="1" t="s">
        <v>1168</v>
      </c>
      <c r="L1077" s="1" t="s">
        <v>1169</v>
      </c>
      <c r="M1077" s="1" t="s">
        <v>3659</v>
      </c>
      <c r="N1077" s="1" t="s">
        <v>421</v>
      </c>
      <c r="P1077" s="1" t="s">
        <v>5213</v>
      </c>
      <c r="Q1077" s="3">
        <v>0</v>
      </c>
      <c r="S1077" s="23" t="s">
        <v>5949</v>
      </c>
      <c r="T1077" s="23" t="s">
        <v>4931</v>
      </c>
      <c r="U1077" s="3">
        <v>34</v>
      </c>
      <c r="W1077" s="45" t="str">
        <f>HYPERLINK("http://ictvonline.org/taxonomy/p/taxonomy-history?taxnode_id=201852277","ICTVonline=201852277")</f>
        <v>ICTVonline=201852277</v>
      </c>
      <c r="AA1077" s="1">
        <v>201850000</v>
      </c>
      <c r="AB1077" s="1">
        <v>34</v>
      </c>
    </row>
    <row r="1078" spans="1:28" x14ac:dyDescent="0.15">
      <c r="A1078" s="1">
        <v>2923</v>
      </c>
      <c r="B1078" s="1" t="s">
        <v>7159</v>
      </c>
      <c r="J1078" s="1" t="s">
        <v>1168</v>
      </c>
      <c r="L1078" s="1" t="s">
        <v>1169</v>
      </c>
      <c r="M1078" s="1" t="s">
        <v>3659</v>
      </c>
      <c r="N1078" s="1" t="s">
        <v>421</v>
      </c>
      <c r="P1078" s="1" t="s">
        <v>217</v>
      </c>
      <c r="Q1078" s="3">
        <v>0</v>
      </c>
      <c r="S1078" s="23" t="s">
        <v>5949</v>
      </c>
      <c r="T1078" s="23" t="s">
        <v>4931</v>
      </c>
      <c r="U1078" s="3">
        <v>34</v>
      </c>
      <c r="W1078" s="45" t="str">
        <f>HYPERLINK("http://ictvonline.org/taxonomy/p/taxonomy-history?taxnode_id=201852278","ICTVonline=201852278")</f>
        <v>ICTVonline=201852278</v>
      </c>
      <c r="AA1078" s="1">
        <v>201850000</v>
      </c>
      <c r="AB1078" s="1">
        <v>34</v>
      </c>
    </row>
    <row r="1079" spans="1:28" x14ac:dyDescent="0.15">
      <c r="A1079" s="1">
        <v>2925</v>
      </c>
      <c r="B1079" s="1" t="s">
        <v>7159</v>
      </c>
      <c r="J1079" s="1" t="s">
        <v>1168</v>
      </c>
      <c r="L1079" s="1" t="s">
        <v>1169</v>
      </c>
      <c r="M1079" s="1" t="s">
        <v>3659</v>
      </c>
      <c r="N1079" s="1" t="s">
        <v>421</v>
      </c>
      <c r="P1079" s="1" t="s">
        <v>2208</v>
      </c>
      <c r="Q1079" s="3">
        <v>0</v>
      </c>
      <c r="S1079" s="23" t="s">
        <v>5949</v>
      </c>
      <c r="T1079" s="23" t="s">
        <v>4931</v>
      </c>
      <c r="U1079" s="3">
        <v>34</v>
      </c>
      <c r="W1079" s="45" t="str">
        <f>HYPERLINK("http://ictvonline.org/taxonomy/p/taxonomy-history?taxnode_id=201852279","ICTVonline=201852279")</f>
        <v>ICTVonline=201852279</v>
      </c>
      <c r="AA1079" s="1">
        <v>201850000</v>
      </c>
      <c r="AB1079" s="1">
        <v>34</v>
      </c>
    </row>
    <row r="1080" spans="1:28" x14ac:dyDescent="0.15">
      <c r="A1080" s="1">
        <v>2927</v>
      </c>
      <c r="B1080" s="1" t="s">
        <v>7159</v>
      </c>
      <c r="J1080" s="1" t="s">
        <v>1168</v>
      </c>
      <c r="L1080" s="1" t="s">
        <v>1169</v>
      </c>
      <c r="M1080" s="1" t="s">
        <v>3659</v>
      </c>
      <c r="N1080" s="1" t="s">
        <v>421</v>
      </c>
      <c r="P1080" s="1" t="s">
        <v>218</v>
      </c>
      <c r="Q1080" s="3">
        <v>0</v>
      </c>
      <c r="S1080" s="23" t="s">
        <v>5949</v>
      </c>
      <c r="T1080" s="23" t="s">
        <v>4931</v>
      </c>
      <c r="U1080" s="3">
        <v>34</v>
      </c>
      <c r="W1080" s="45" t="str">
        <f>HYPERLINK("http://ictvonline.org/taxonomy/p/taxonomy-history?taxnode_id=201852280","ICTVonline=201852280")</f>
        <v>ICTVonline=201852280</v>
      </c>
      <c r="AA1080" s="1">
        <v>201850000</v>
      </c>
      <c r="AB1080" s="1">
        <v>34</v>
      </c>
    </row>
    <row r="1081" spans="1:28" x14ac:dyDescent="0.15">
      <c r="A1081" s="1">
        <v>2929</v>
      </c>
      <c r="B1081" s="1" t="s">
        <v>7159</v>
      </c>
      <c r="J1081" s="1" t="s">
        <v>1168</v>
      </c>
      <c r="L1081" s="1" t="s">
        <v>1169</v>
      </c>
      <c r="M1081" s="1" t="s">
        <v>3659</v>
      </c>
      <c r="N1081" s="1" t="s">
        <v>421</v>
      </c>
      <c r="P1081" s="1" t="s">
        <v>219</v>
      </c>
      <c r="Q1081" s="3">
        <v>0</v>
      </c>
      <c r="S1081" s="23" t="s">
        <v>5949</v>
      </c>
      <c r="T1081" s="23" t="s">
        <v>4931</v>
      </c>
      <c r="U1081" s="3">
        <v>34</v>
      </c>
      <c r="W1081" s="45" t="str">
        <f>HYPERLINK("http://ictvonline.org/taxonomy/p/taxonomy-history?taxnode_id=201852281","ICTVonline=201852281")</f>
        <v>ICTVonline=201852281</v>
      </c>
      <c r="AA1081" s="1">
        <v>201850000</v>
      </c>
      <c r="AB1081" s="1">
        <v>34</v>
      </c>
    </row>
    <row r="1082" spans="1:28" x14ac:dyDescent="0.15">
      <c r="A1082" s="1">
        <v>2931</v>
      </c>
      <c r="B1082" s="1" t="s">
        <v>7159</v>
      </c>
      <c r="J1082" s="1" t="s">
        <v>1168</v>
      </c>
      <c r="L1082" s="1" t="s">
        <v>1169</v>
      </c>
      <c r="M1082" s="1" t="s">
        <v>3659</v>
      </c>
      <c r="N1082" s="1" t="s">
        <v>421</v>
      </c>
      <c r="P1082" s="1" t="s">
        <v>5214</v>
      </c>
      <c r="Q1082" s="3">
        <v>0</v>
      </c>
      <c r="S1082" s="23" t="s">
        <v>5949</v>
      </c>
      <c r="T1082" s="23" t="s">
        <v>4931</v>
      </c>
      <c r="U1082" s="3">
        <v>34</v>
      </c>
      <c r="W1082" s="45" t="str">
        <f>HYPERLINK("http://ictvonline.org/taxonomy/p/taxonomy-history?taxnode_id=201855642","ICTVonline=201855642")</f>
        <v>ICTVonline=201855642</v>
      </c>
      <c r="AA1082" s="1">
        <v>201850000</v>
      </c>
      <c r="AB1082" s="1">
        <v>34</v>
      </c>
    </row>
    <row r="1083" spans="1:28" x14ac:dyDescent="0.15">
      <c r="A1083" s="1">
        <v>2935</v>
      </c>
      <c r="B1083" s="1" t="s">
        <v>7159</v>
      </c>
      <c r="J1083" s="1" t="s">
        <v>1168</v>
      </c>
      <c r="L1083" s="1" t="s">
        <v>1169</v>
      </c>
      <c r="M1083" s="1" t="s">
        <v>3659</v>
      </c>
      <c r="N1083" s="1" t="s">
        <v>222</v>
      </c>
      <c r="P1083" s="1" t="s">
        <v>223</v>
      </c>
      <c r="Q1083" s="3">
        <v>1</v>
      </c>
      <c r="S1083" s="23" t="s">
        <v>5949</v>
      </c>
      <c r="T1083" s="23" t="s">
        <v>4931</v>
      </c>
      <c r="U1083" s="3">
        <v>34</v>
      </c>
      <c r="W1083" s="45" t="str">
        <f>HYPERLINK("http://ictvonline.org/taxonomy/p/taxonomy-history?taxnode_id=201852283","ICTVonline=201852283")</f>
        <v>ICTVonline=201852283</v>
      </c>
      <c r="AA1083" s="1">
        <v>201850000</v>
      </c>
      <c r="AB1083" s="1">
        <v>34</v>
      </c>
    </row>
    <row r="1084" spans="1:28" x14ac:dyDescent="0.15">
      <c r="A1084" s="1">
        <v>2937</v>
      </c>
      <c r="B1084" s="1" t="s">
        <v>7159</v>
      </c>
      <c r="J1084" s="1" t="s">
        <v>1168</v>
      </c>
      <c r="L1084" s="1" t="s">
        <v>1169</v>
      </c>
      <c r="M1084" s="1" t="s">
        <v>3659</v>
      </c>
      <c r="N1084" s="1" t="s">
        <v>222</v>
      </c>
      <c r="P1084" s="1" t="s">
        <v>224</v>
      </c>
      <c r="Q1084" s="3">
        <v>0</v>
      </c>
      <c r="S1084" s="23" t="s">
        <v>5949</v>
      </c>
      <c r="T1084" s="23" t="s">
        <v>4931</v>
      </c>
      <c r="U1084" s="3">
        <v>34</v>
      </c>
      <c r="W1084" s="45" t="str">
        <f>HYPERLINK("http://ictvonline.org/taxonomy/p/taxonomy-history?taxnode_id=201852284","ICTVonline=201852284")</f>
        <v>ICTVonline=201852284</v>
      </c>
      <c r="AA1084" s="1">
        <v>201850000</v>
      </c>
      <c r="AB1084" s="1">
        <v>34</v>
      </c>
    </row>
    <row r="1085" spans="1:28" x14ac:dyDescent="0.15">
      <c r="A1085" s="1">
        <v>2939</v>
      </c>
      <c r="B1085" s="1" t="s">
        <v>7159</v>
      </c>
      <c r="J1085" s="1" t="s">
        <v>1168</v>
      </c>
      <c r="L1085" s="1" t="s">
        <v>1169</v>
      </c>
      <c r="M1085" s="1" t="s">
        <v>3659</v>
      </c>
      <c r="N1085" s="1" t="s">
        <v>222</v>
      </c>
      <c r="P1085" s="1" t="s">
        <v>2209</v>
      </c>
      <c r="Q1085" s="3">
        <v>0</v>
      </c>
      <c r="S1085" s="23" t="s">
        <v>5949</v>
      </c>
      <c r="T1085" s="23" t="s">
        <v>4931</v>
      </c>
      <c r="U1085" s="3">
        <v>34</v>
      </c>
      <c r="W1085" s="45" t="str">
        <f>HYPERLINK("http://ictvonline.org/taxonomy/p/taxonomy-history?taxnode_id=201852285","ICTVonline=201852285")</f>
        <v>ICTVonline=201852285</v>
      </c>
      <c r="AA1085" s="1">
        <v>201850000</v>
      </c>
      <c r="AB1085" s="1">
        <v>34</v>
      </c>
    </row>
    <row r="1086" spans="1:28" x14ac:dyDescent="0.15">
      <c r="A1086" s="1">
        <v>2941</v>
      </c>
      <c r="B1086" s="1" t="s">
        <v>7159</v>
      </c>
      <c r="J1086" s="1" t="s">
        <v>1168</v>
      </c>
      <c r="L1086" s="1" t="s">
        <v>1169</v>
      </c>
      <c r="M1086" s="1" t="s">
        <v>3659</v>
      </c>
      <c r="N1086" s="1" t="s">
        <v>222</v>
      </c>
      <c r="P1086" s="1" t="s">
        <v>5215</v>
      </c>
      <c r="Q1086" s="3">
        <v>0</v>
      </c>
      <c r="S1086" s="23" t="s">
        <v>5949</v>
      </c>
      <c r="T1086" s="23" t="s">
        <v>4931</v>
      </c>
      <c r="U1086" s="3">
        <v>34</v>
      </c>
      <c r="W1086" s="45" t="str">
        <f>HYPERLINK("http://ictvonline.org/taxonomy/p/taxonomy-history?taxnode_id=201855643","ICTVonline=201855643")</f>
        <v>ICTVonline=201855643</v>
      </c>
      <c r="AA1086" s="1">
        <v>201850000</v>
      </c>
      <c r="AB1086" s="1">
        <v>34</v>
      </c>
    </row>
    <row r="1087" spans="1:28" x14ac:dyDescent="0.15">
      <c r="A1087" s="1">
        <v>2943</v>
      </c>
      <c r="B1087" s="1" t="s">
        <v>7159</v>
      </c>
      <c r="J1087" s="1" t="s">
        <v>1168</v>
      </c>
      <c r="L1087" s="1" t="s">
        <v>1169</v>
      </c>
      <c r="M1087" s="1" t="s">
        <v>3659</v>
      </c>
      <c r="N1087" s="1" t="s">
        <v>222</v>
      </c>
      <c r="P1087" s="1" t="s">
        <v>345</v>
      </c>
      <c r="Q1087" s="3">
        <v>0</v>
      </c>
      <c r="S1087" s="23" t="s">
        <v>5949</v>
      </c>
      <c r="T1087" s="23" t="s">
        <v>4931</v>
      </c>
      <c r="U1087" s="3">
        <v>34</v>
      </c>
      <c r="W1087" s="45" t="str">
        <f>HYPERLINK("http://ictvonline.org/taxonomy/p/taxonomy-history?taxnode_id=201852286","ICTVonline=201852286")</f>
        <v>ICTVonline=201852286</v>
      </c>
      <c r="AA1087" s="1">
        <v>201850000</v>
      </c>
      <c r="AB1087" s="1">
        <v>34</v>
      </c>
    </row>
    <row r="1088" spans="1:28" x14ac:dyDescent="0.15">
      <c r="A1088" s="1">
        <v>2945</v>
      </c>
      <c r="B1088" s="1" t="s">
        <v>7159</v>
      </c>
      <c r="J1088" s="1" t="s">
        <v>1168</v>
      </c>
      <c r="L1088" s="1" t="s">
        <v>1169</v>
      </c>
      <c r="M1088" s="1" t="s">
        <v>3659</v>
      </c>
      <c r="N1088" s="1" t="s">
        <v>222</v>
      </c>
      <c r="P1088" s="1" t="s">
        <v>6929</v>
      </c>
      <c r="Q1088" s="3">
        <v>0</v>
      </c>
      <c r="S1088" s="23" t="s">
        <v>5949</v>
      </c>
      <c r="T1088" s="23" t="s">
        <v>4929</v>
      </c>
      <c r="U1088" s="3">
        <v>34</v>
      </c>
      <c r="V1088" s="3" t="s">
        <v>6930</v>
      </c>
      <c r="W1088" s="45" t="str">
        <f>HYPERLINK("http://ictvonline.org/taxonomy/p/taxonomy-history?taxnode_id=201856339","ICTVonline=201856339")</f>
        <v>ICTVonline=201856339</v>
      </c>
      <c r="AA1088" s="1">
        <v>201850000</v>
      </c>
      <c r="AB1088" s="1">
        <v>34</v>
      </c>
    </row>
    <row r="1089" spans="1:28" x14ac:dyDescent="0.15">
      <c r="A1089" s="1">
        <v>2947</v>
      </c>
      <c r="B1089" s="1" t="s">
        <v>7159</v>
      </c>
      <c r="J1089" s="1" t="s">
        <v>1168</v>
      </c>
      <c r="L1089" s="1" t="s">
        <v>1169</v>
      </c>
      <c r="M1089" s="1" t="s">
        <v>3659</v>
      </c>
      <c r="N1089" s="1" t="s">
        <v>222</v>
      </c>
      <c r="P1089" s="1" t="s">
        <v>2115</v>
      </c>
      <c r="Q1089" s="3">
        <v>0</v>
      </c>
      <c r="S1089" s="23" t="s">
        <v>5949</v>
      </c>
      <c r="T1089" s="23" t="s">
        <v>4931</v>
      </c>
      <c r="U1089" s="3">
        <v>34</v>
      </c>
      <c r="W1089" s="45" t="str">
        <f>HYPERLINK("http://ictvonline.org/taxonomy/p/taxonomy-history?taxnode_id=201852287","ICTVonline=201852287")</f>
        <v>ICTVonline=201852287</v>
      </c>
      <c r="AA1089" s="1">
        <v>201850000</v>
      </c>
      <c r="AB1089" s="1">
        <v>34</v>
      </c>
    </row>
    <row r="1090" spans="1:28" x14ac:dyDescent="0.15">
      <c r="A1090" s="1">
        <v>2949</v>
      </c>
      <c r="B1090" s="1" t="s">
        <v>7159</v>
      </c>
      <c r="J1090" s="1" t="s">
        <v>1168</v>
      </c>
      <c r="L1090" s="1" t="s">
        <v>1169</v>
      </c>
      <c r="M1090" s="1" t="s">
        <v>3659</v>
      </c>
      <c r="N1090" s="1" t="s">
        <v>222</v>
      </c>
      <c r="P1090" s="1" t="s">
        <v>2323</v>
      </c>
      <c r="Q1090" s="3">
        <v>0</v>
      </c>
      <c r="S1090" s="23" t="s">
        <v>5949</v>
      </c>
      <c r="T1090" s="23" t="s">
        <v>4931</v>
      </c>
      <c r="U1090" s="3">
        <v>34</v>
      </c>
      <c r="W1090" s="45" t="str">
        <f>HYPERLINK("http://ictvonline.org/taxonomy/p/taxonomy-history?taxnode_id=201852288","ICTVonline=201852288")</f>
        <v>ICTVonline=201852288</v>
      </c>
      <c r="AA1090" s="1">
        <v>201850000</v>
      </c>
      <c r="AB1090" s="1">
        <v>34</v>
      </c>
    </row>
    <row r="1091" spans="1:28" x14ac:dyDescent="0.15">
      <c r="A1091" s="1">
        <v>2953</v>
      </c>
      <c r="B1091" s="1" t="s">
        <v>7159</v>
      </c>
      <c r="J1091" s="1" t="s">
        <v>1168</v>
      </c>
      <c r="L1091" s="1" t="s">
        <v>1169</v>
      </c>
      <c r="M1091" s="1" t="s">
        <v>3659</v>
      </c>
      <c r="N1091" s="1" t="s">
        <v>3662</v>
      </c>
      <c r="P1091" s="1" t="s">
        <v>1513</v>
      </c>
      <c r="Q1091" s="3">
        <v>0</v>
      </c>
      <c r="S1091" s="23" t="s">
        <v>5949</v>
      </c>
      <c r="T1091" s="23" t="s">
        <v>4931</v>
      </c>
      <c r="U1091" s="3">
        <v>34</v>
      </c>
      <c r="W1091" s="45" t="str">
        <f>HYPERLINK("http://ictvonline.org/taxonomy/p/taxonomy-history?taxnode_id=201852290","ICTVonline=201852290")</f>
        <v>ICTVonline=201852290</v>
      </c>
      <c r="AA1091" s="1">
        <v>201850000</v>
      </c>
      <c r="AB1091" s="1">
        <v>34</v>
      </c>
    </row>
    <row r="1092" spans="1:28" x14ac:dyDescent="0.15">
      <c r="A1092" s="1">
        <v>2955</v>
      </c>
      <c r="B1092" s="1" t="s">
        <v>7159</v>
      </c>
      <c r="J1092" s="1" t="s">
        <v>1168</v>
      </c>
      <c r="L1092" s="1" t="s">
        <v>1169</v>
      </c>
      <c r="M1092" s="1" t="s">
        <v>3659</v>
      </c>
      <c r="N1092" s="1" t="s">
        <v>3662</v>
      </c>
      <c r="P1092" s="1" t="s">
        <v>1980</v>
      </c>
      <c r="Q1092" s="3">
        <v>0</v>
      </c>
      <c r="S1092" s="23" t="s">
        <v>5949</v>
      </c>
      <c r="T1092" s="23" t="s">
        <v>4931</v>
      </c>
      <c r="U1092" s="3">
        <v>34</v>
      </c>
      <c r="W1092" s="45" t="str">
        <f>HYPERLINK("http://ictvonline.org/taxonomy/p/taxonomy-history?taxnode_id=201852291","ICTVonline=201852291")</f>
        <v>ICTVonline=201852291</v>
      </c>
      <c r="AA1092" s="1">
        <v>201850000</v>
      </c>
      <c r="AB1092" s="1">
        <v>34</v>
      </c>
    </row>
    <row r="1093" spans="1:28" x14ac:dyDescent="0.15">
      <c r="A1093" s="1">
        <v>2957</v>
      </c>
      <c r="B1093" s="1" t="s">
        <v>7159</v>
      </c>
      <c r="J1093" s="1" t="s">
        <v>1168</v>
      </c>
      <c r="L1093" s="1" t="s">
        <v>1169</v>
      </c>
      <c r="M1093" s="1" t="s">
        <v>3659</v>
      </c>
      <c r="N1093" s="1" t="s">
        <v>3662</v>
      </c>
      <c r="P1093" s="1" t="s">
        <v>1981</v>
      </c>
      <c r="Q1093" s="3">
        <v>1</v>
      </c>
      <c r="S1093" s="23" t="s">
        <v>5949</v>
      </c>
      <c r="T1093" s="23" t="s">
        <v>4931</v>
      </c>
      <c r="U1093" s="3">
        <v>34</v>
      </c>
      <c r="W1093" s="45" t="str">
        <f>HYPERLINK("http://ictvonline.org/taxonomy/p/taxonomy-history?taxnode_id=201852292","ICTVonline=201852292")</f>
        <v>ICTVonline=201852292</v>
      </c>
      <c r="AA1093" s="1">
        <v>201850000</v>
      </c>
      <c r="AB1093" s="1">
        <v>34</v>
      </c>
    </row>
    <row r="1094" spans="1:28" x14ac:dyDescent="0.15">
      <c r="A1094" s="1">
        <v>2959</v>
      </c>
      <c r="B1094" s="1" t="s">
        <v>7159</v>
      </c>
      <c r="J1094" s="1" t="s">
        <v>1168</v>
      </c>
      <c r="L1094" s="1" t="s">
        <v>1169</v>
      </c>
      <c r="M1094" s="1" t="s">
        <v>3659</v>
      </c>
      <c r="N1094" s="1" t="s">
        <v>3662</v>
      </c>
      <c r="P1094" s="1" t="s">
        <v>3663</v>
      </c>
      <c r="Q1094" s="3">
        <v>0</v>
      </c>
      <c r="S1094" s="23" t="s">
        <v>5949</v>
      </c>
      <c r="T1094" s="23" t="s">
        <v>4931</v>
      </c>
      <c r="U1094" s="3">
        <v>34</v>
      </c>
      <c r="W1094" s="45" t="str">
        <f>HYPERLINK("http://ictvonline.org/taxonomy/p/taxonomy-history?taxnode_id=201852293","ICTVonline=201852293")</f>
        <v>ICTVonline=201852293</v>
      </c>
      <c r="AA1094" s="1">
        <v>201850000</v>
      </c>
      <c r="AB1094" s="1">
        <v>34</v>
      </c>
    </row>
    <row r="1095" spans="1:28" x14ac:dyDescent="0.15">
      <c r="A1095" s="1">
        <v>2961</v>
      </c>
      <c r="B1095" s="1" t="s">
        <v>7159</v>
      </c>
      <c r="J1095" s="1" t="s">
        <v>1168</v>
      </c>
      <c r="L1095" s="1" t="s">
        <v>1169</v>
      </c>
      <c r="M1095" s="1" t="s">
        <v>3659</v>
      </c>
      <c r="N1095" s="1" t="s">
        <v>3662</v>
      </c>
      <c r="P1095" s="1" t="s">
        <v>3664</v>
      </c>
      <c r="Q1095" s="3">
        <v>0</v>
      </c>
      <c r="S1095" s="23" t="s">
        <v>5949</v>
      </c>
      <c r="T1095" s="23" t="s">
        <v>4931</v>
      </c>
      <c r="U1095" s="3">
        <v>34</v>
      </c>
      <c r="W1095" s="45" t="str">
        <f>HYPERLINK("http://ictvonline.org/taxonomy/p/taxonomy-history?taxnode_id=201852294","ICTVonline=201852294")</f>
        <v>ICTVonline=201852294</v>
      </c>
      <c r="AA1095" s="1">
        <v>201850000</v>
      </c>
      <c r="AB1095" s="1">
        <v>34</v>
      </c>
    </row>
    <row r="1096" spans="1:28" x14ac:dyDescent="0.15">
      <c r="A1096" s="1">
        <v>2964</v>
      </c>
      <c r="B1096" s="1" t="s">
        <v>7159</v>
      </c>
      <c r="J1096" s="1" t="s">
        <v>1168</v>
      </c>
      <c r="L1096" s="1" t="s">
        <v>1169</v>
      </c>
      <c r="M1096" s="1" t="s">
        <v>3659</v>
      </c>
      <c r="P1096" s="1" t="s">
        <v>2087</v>
      </c>
      <c r="Q1096" s="3">
        <v>0</v>
      </c>
      <c r="S1096" s="23" t="s">
        <v>5949</v>
      </c>
      <c r="T1096" s="23" t="s">
        <v>4931</v>
      </c>
      <c r="U1096" s="3">
        <v>34</v>
      </c>
      <c r="W1096" s="45" t="str">
        <f>HYPERLINK("http://ictvonline.org/taxonomy/p/taxonomy-history?taxnode_id=201852296","ICTVonline=201852296")</f>
        <v>ICTVonline=201852296</v>
      </c>
      <c r="AA1096" s="1">
        <v>201850000</v>
      </c>
      <c r="AB1096" s="1">
        <v>34</v>
      </c>
    </row>
    <row r="1097" spans="1:28" x14ac:dyDescent="0.15">
      <c r="A1097" s="1">
        <v>2966</v>
      </c>
      <c r="B1097" s="1" t="s">
        <v>7159</v>
      </c>
      <c r="J1097" s="1" t="s">
        <v>1168</v>
      </c>
      <c r="L1097" s="1" t="s">
        <v>1169</v>
      </c>
      <c r="M1097" s="1" t="s">
        <v>3659</v>
      </c>
      <c r="P1097" s="1" t="s">
        <v>2212</v>
      </c>
      <c r="Q1097" s="3">
        <v>0</v>
      </c>
      <c r="S1097" s="23" t="s">
        <v>5949</v>
      </c>
      <c r="T1097" s="23" t="s">
        <v>4931</v>
      </c>
      <c r="U1097" s="3">
        <v>34</v>
      </c>
      <c r="W1097" s="45" t="str">
        <f>HYPERLINK("http://ictvonline.org/taxonomy/p/taxonomy-history?taxnode_id=201852297","ICTVonline=201852297")</f>
        <v>ICTVonline=201852297</v>
      </c>
      <c r="AA1097" s="1">
        <v>201850000</v>
      </c>
      <c r="AB1097" s="1">
        <v>34</v>
      </c>
    </row>
    <row r="1098" spans="1:28" x14ac:dyDescent="0.15">
      <c r="A1098" s="1">
        <v>2968</v>
      </c>
      <c r="B1098" s="1" t="s">
        <v>7159</v>
      </c>
      <c r="J1098" s="1" t="s">
        <v>1168</v>
      </c>
      <c r="L1098" s="1" t="s">
        <v>1169</v>
      </c>
      <c r="M1098" s="1" t="s">
        <v>3659</v>
      </c>
      <c r="P1098" s="1" t="s">
        <v>1514</v>
      </c>
      <c r="Q1098" s="3">
        <v>0</v>
      </c>
      <c r="S1098" s="23" t="s">
        <v>5949</v>
      </c>
      <c r="T1098" s="23" t="s">
        <v>4931</v>
      </c>
      <c r="U1098" s="3">
        <v>34</v>
      </c>
      <c r="W1098" s="45" t="str">
        <f>HYPERLINK("http://ictvonline.org/taxonomy/p/taxonomy-history?taxnode_id=201852298","ICTVonline=201852298")</f>
        <v>ICTVonline=201852298</v>
      </c>
      <c r="AA1098" s="1">
        <v>201850000</v>
      </c>
      <c r="AB1098" s="1">
        <v>34</v>
      </c>
    </row>
    <row r="1099" spans="1:28" x14ac:dyDescent="0.15">
      <c r="A1099" s="1">
        <v>2973</v>
      </c>
      <c r="B1099" s="1" t="s">
        <v>7159</v>
      </c>
      <c r="J1099" s="1" t="s">
        <v>1168</v>
      </c>
      <c r="L1099" s="1" t="s">
        <v>1169</v>
      </c>
      <c r="M1099" s="1" t="s">
        <v>3665</v>
      </c>
      <c r="N1099" s="1" t="s">
        <v>290</v>
      </c>
      <c r="P1099" s="1" t="s">
        <v>419</v>
      </c>
      <c r="Q1099" s="3">
        <v>1</v>
      </c>
      <c r="S1099" s="23" t="s">
        <v>5949</v>
      </c>
      <c r="T1099" s="23" t="s">
        <v>4931</v>
      </c>
      <c r="U1099" s="3">
        <v>34</v>
      </c>
      <c r="W1099" s="45" t="str">
        <f>HYPERLINK("http://ictvonline.org/taxonomy/p/taxonomy-history?taxnode_id=201852301","ICTVonline=201852301")</f>
        <v>ICTVonline=201852301</v>
      </c>
      <c r="AA1099" s="1">
        <v>201850000</v>
      </c>
      <c r="AB1099" s="1">
        <v>34</v>
      </c>
    </row>
    <row r="1100" spans="1:28" x14ac:dyDescent="0.15">
      <c r="A1100" s="1">
        <v>2975</v>
      </c>
      <c r="B1100" s="1" t="s">
        <v>7159</v>
      </c>
      <c r="J1100" s="1" t="s">
        <v>1168</v>
      </c>
      <c r="L1100" s="1" t="s">
        <v>1169</v>
      </c>
      <c r="M1100" s="1" t="s">
        <v>3665</v>
      </c>
      <c r="N1100" s="1" t="s">
        <v>290</v>
      </c>
      <c r="P1100" s="1" t="s">
        <v>420</v>
      </c>
      <c r="Q1100" s="3">
        <v>0</v>
      </c>
      <c r="S1100" s="23" t="s">
        <v>5949</v>
      </c>
      <c r="T1100" s="23" t="s">
        <v>4931</v>
      </c>
      <c r="U1100" s="3">
        <v>34</v>
      </c>
      <c r="W1100" s="45" t="str">
        <f>HYPERLINK("http://ictvonline.org/taxonomy/p/taxonomy-history?taxnode_id=201852302","ICTVonline=201852302")</f>
        <v>ICTVonline=201852302</v>
      </c>
      <c r="AA1100" s="1">
        <v>201850000</v>
      </c>
      <c r="AB1100" s="1">
        <v>34</v>
      </c>
    </row>
    <row r="1101" spans="1:28" x14ac:dyDescent="0.15">
      <c r="A1101" s="1">
        <v>2977</v>
      </c>
      <c r="B1101" s="1" t="s">
        <v>7159</v>
      </c>
      <c r="J1101" s="1" t="s">
        <v>1168</v>
      </c>
      <c r="L1101" s="1" t="s">
        <v>1169</v>
      </c>
      <c r="M1101" s="1" t="s">
        <v>3665</v>
      </c>
      <c r="N1101" s="1" t="s">
        <v>290</v>
      </c>
      <c r="P1101" s="1" t="s">
        <v>6931</v>
      </c>
      <c r="Q1101" s="3">
        <v>0</v>
      </c>
      <c r="S1101" s="23" t="s">
        <v>5949</v>
      </c>
      <c r="T1101" s="23" t="s">
        <v>4929</v>
      </c>
      <c r="U1101" s="3">
        <v>34</v>
      </c>
      <c r="V1101" s="3" t="s">
        <v>6932</v>
      </c>
      <c r="W1101" s="45" t="str">
        <f>HYPERLINK("http://ictvonline.org/taxonomy/p/taxonomy-history?taxnode_id=201856329","ICTVonline=201856329")</f>
        <v>ICTVonline=201856329</v>
      </c>
      <c r="AA1101" s="1">
        <v>201850000</v>
      </c>
      <c r="AB1101" s="1">
        <v>34</v>
      </c>
    </row>
    <row r="1102" spans="1:28" x14ac:dyDescent="0.15">
      <c r="A1102" s="1">
        <v>2979</v>
      </c>
      <c r="B1102" s="1" t="s">
        <v>7159</v>
      </c>
      <c r="J1102" s="1" t="s">
        <v>1168</v>
      </c>
      <c r="L1102" s="1" t="s">
        <v>1169</v>
      </c>
      <c r="M1102" s="1" t="s">
        <v>3665</v>
      </c>
      <c r="N1102" s="1" t="s">
        <v>290</v>
      </c>
      <c r="P1102" s="1" t="s">
        <v>6933</v>
      </c>
      <c r="Q1102" s="3">
        <v>0</v>
      </c>
      <c r="S1102" s="23" t="s">
        <v>5949</v>
      </c>
      <c r="T1102" s="23" t="s">
        <v>4929</v>
      </c>
      <c r="U1102" s="3">
        <v>34</v>
      </c>
      <c r="V1102" s="3" t="s">
        <v>6934</v>
      </c>
      <c r="W1102" s="45" t="str">
        <f>HYPERLINK("http://ictvonline.org/taxonomy/p/taxonomy-history?taxnode_id=201856322","ICTVonline=201856322")</f>
        <v>ICTVonline=201856322</v>
      </c>
      <c r="AA1102" s="1">
        <v>201850000</v>
      </c>
      <c r="AB1102" s="1">
        <v>34</v>
      </c>
    </row>
    <row r="1103" spans="1:28" x14ac:dyDescent="0.15">
      <c r="A1103" s="1">
        <v>2983</v>
      </c>
      <c r="B1103" s="1" t="s">
        <v>7159</v>
      </c>
      <c r="J1103" s="1" t="s">
        <v>1168</v>
      </c>
      <c r="L1103" s="1" t="s">
        <v>1169</v>
      </c>
      <c r="M1103" s="1" t="s">
        <v>3665</v>
      </c>
      <c r="N1103" s="1" t="s">
        <v>3666</v>
      </c>
      <c r="P1103" s="1" t="s">
        <v>3667</v>
      </c>
      <c r="Q1103" s="3">
        <v>1</v>
      </c>
      <c r="S1103" s="23" t="s">
        <v>5949</v>
      </c>
      <c r="T1103" s="23" t="s">
        <v>4931</v>
      </c>
      <c r="U1103" s="3">
        <v>34</v>
      </c>
      <c r="W1103" s="45" t="str">
        <f>HYPERLINK("http://ictvonline.org/taxonomy/p/taxonomy-history?taxnode_id=201852304","ICTVonline=201852304")</f>
        <v>ICTVonline=201852304</v>
      </c>
      <c r="AA1103" s="1">
        <v>201850000</v>
      </c>
      <c r="AB1103" s="1">
        <v>34</v>
      </c>
    </row>
    <row r="1104" spans="1:28" x14ac:dyDescent="0.15">
      <c r="A1104" s="1">
        <v>2985</v>
      </c>
      <c r="B1104" s="1" t="s">
        <v>7159</v>
      </c>
      <c r="J1104" s="1" t="s">
        <v>1168</v>
      </c>
      <c r="L1104" s="1" t="s">
        <v>1169</v>
      </c>
      <c r="M1104" s="1" t="s">
        <v>3665</v>
      </c>
      <c r="N1104" s="1" t="s">
        <v>3666</v>
      </c>
      <c r="P1104" s="1" t="s">
        <v>3668</v>
      </c>
      <c r="Q1104" s="3">
        <v>0</v>
      </c>
      <c r="S1104" s="23" t="s">
        <v>5949</v>
      </c>
      <c r="T1104" s="23" t="s">
        <v>4931</v>
      </c>
      <c r="U1104" s="3">
        <v>34</v>
      </c>
      <c r="W1104" s="45" t="str">
        <f>HYPERLINK("http://ictvonline.org/taxonomy/p/taxonomy-history?taxnode_id=201852305","ICTVonline=201852305")</f>
        <v>ICTVonline=201852305</v>
      </c>
      <c r="AA1104" s="1">
        <v>201850000</v>
      </c>
      <c r="AB1104" s="1">
        <v>34</v>
      </c>
    </row>
    <row r="1105" spans="1:28" x14ac:dyDescent="0.15">
      <c r="A1105" s="1">
        <v>2989</v>
      </c>
      <c r="B1105" s="1" t="s">
        <v>7159</v>
      </c>
      <c r="J1105" s="1" t="s">
        <v>1168</v>
      </c>
      <c r="L1105" s="1" t="s">
        <v>1169</v>
      </c>
      <c r="M1105" s="1" t="s">
        <v>3665</v>
      </c>
      <c r="N1105" s="1" t="s">
        <v>220</v>
      </c>
      <c r="P1105" s="1" t="s">
        <v>221</v>
      </c>
      <c r="Q1105" s="3">
        <v>1</v>
      </c>
      <c r="S1105" s="23" t="s">
        <v>5949</v>
      </c>
      <c r="T1105" s="23" t="s">
        <v>4931</v>
      </c>
      <c r="U1105" s="3">
        <v>34</v>
      </c>
      <c r="W1105" s="45" t="str">
        <f>HYPERLINK("http://ictvonline.org/taxonomy/p/taxonomy-history?taxnode_id=201852307","ICTVonline=201852307")</f>
        <v>ICTVonline=201852307</v>
      </c>
      <c r="AA1105" s="1">
        <v>201850000</v>
      </c>
      <c r="AB1105" s="1">
        <v>34</v>
      </c>
    </row>
    <row r="1106" spans="1:28" x14ac:dyDescent="0.15">
      <c r="A1106" s="1">
        <v>2993</v>
      </c>
      <c r="B1106" s="1" t="s">
        <v>7159</v>
      </c>
      <c r="J1106" s="1" t="s">
        <v>1168</v>
      </c>
      <c r="L1106" s="1" t="s">
        <v>1169</v>
      </c>
      <c r="M1106" s="1" t="s">
        <v>3665</v>
      </c>
      <c r="N1106" s="1" t="s">
        <v>3669</v>
      </c>
      <c r="P1106" s="1" t="s">
        <v>2324</v>
      </c>
      <c r="Q1106" s="3">
        <v>1</v>
      </c>
      <c r="S1106" s="23" t="s">
        <v>5949</v>
      </c>
      <c r="T1106" s="23" t="s">
        <v>4931</v>
      </c>
      <c r="U1106" s="3">
        <v>34</v>
      </c>
      <c r="W1106" s="45" t="str">
        <f>HYPERLINK("http://ictvonline.org/taxonomy/p/taxonomy-history?taxnode_id=201852309","ICTVonline=201852309")</f>
        <v>ICTVonline=201852309</v>
      </c>
      <c r="AA1106" s="1">
        <v>201850000</v>
      </c>
      <c r="AB1106" s="1">
        <v>34</v>
      </c>
    </row>
    <row r="1107" spans="1:28" x14ac:dyDescent="0.15">
      <c r="A1107" s="1">
        <v>2995</v>
      </c>
      <c r="B1107" s="1" t="s">
        <v>7159</v>
      </c>
      <c r="J1107" s="1" t="s">
        <v>1168</v>
      </c>
      <c r="L1107" s="1" t="s">
        <v>1169</v>
      </c>
      <c r="M1107" s="1" t="s">
        <v>3665</v>
      </c>
      <c r="N1107" s="1" t="s">
        <v>3669</v>
      </c>
      <c r="P1107" s="1" t="s">
        <v>2325</v>
      </c>
      <c r="Q1107" s="3">
        <v>0</v>
      </c>
      <c r="S1107" s="23" t="s">
        <v>5949</v>
      </c>
      <c r="T1107" s="23" t="s">
        <v>4931</v>
      </c>
      <c r="U1107" s="3">
        <v>34</v>
      </c>
      <c r="W1107" s="45" t="str">
        <f>HYPERLINK("http://ictvonline.org/taxonomy/p/taxonomy-history?taxnode_id=201852310","ICTVonline=201852310")</f>
        <v>ICTVonline=201852310</v>
      </c>
      <c r="AA1107" s="1">
        <v>201850000</v>
      </c>
      <c r="AB1107" s="1">
        <v>34</v>
      </c>
    </row>
    <row r="1108" spans="1:28" x14ac:dyDescent="0.15">
      <c r="A1108" s="1">
        <v>2997</v>
      </c>
      <c r="B1108" s="1" t="s">
        <v>7159</v>
      </c>
      <c r="J1108" s="1" t="s">
        <v>1168</v>
      </c>
      <c r="L1108" s="1" t="s">
        <v>1169</v>
      </c>
      <c r="M1108" s="1" t="s">
        <v>3665</v>
      </c>
      <c r="N1108" s="1" t="s">
        <v>3669</v>
      </c>
      <c r="P1108" s="1" t="s">
        <v>2213</v>
      </c>
      <c r="Q1108" s="3">
        <v>0</v>
      </c>
      <c r="S1108" s="23" t="s">
        <v>5949</v>
      </c>
      <c r="T1108" s="23" t="s">
        <v>4931</v>
      </c>
      <c r="U1108" s="3">
        <v>34</v>
      </c>
      <c r="W1108" s="45" t="str">
        <f>HYPERLINK("http://ictvonline.org/taxonomy/p/taxonomy-history?taxnode_id=201852311","ICTVonline=201852311")</f>
        <v>ICTVonline=201852311</v>
      </c>
      <c r="AA1108" s="1">
        <v>201850000</v>
      </c>
      <c r="AB1108" s="1">
        <v>34</v>
      </c>
    </row>
    <row r="1109" spans="1:28" x14ac:dyDescent="0.15">
      <c r="A1109" s="1">
        <v>3001</v>
      </c>
      <c r="B1109" s="1" t="s">
        <v>7159</v>
      </c>
      <c r="J1109" s="1" t="s">
        <v>1168</v>
      </c>
      <c r="L1109" s="1" t="s">
        <v>1169</v>
      </c>
      <c r="M1109" s="1" t="s">
        <v>3665</v>
      </c>
      <c r="N1109" s="1" t="s">
        <v>3670</v>
      </c>
      <c r="P1109" s="1" t="s">
        <v>6935</v>
      </c>
      <c r="Q1109" s="3">
        <v>0</v>
      </c>
      <c r="S1109" s="23" t="s">
        <v>5949</v>
      </c>
      <c r="T1109" s="23" t="s">
        <v>4929</v>
      </c>
      <c r="U1109" s="3">
        <v>34</v>
      </c>
      <c r="V1109" s="3" t="s">
        <v>6936</v>
      </c>
      <c r="W1109" s="45" t="str">
        <f>HYPERLINK("http://ictvonline.org/taxonomy/p/taxonomy-history?taxnode_id=201856390","ICTVonline=201856390")</f>
        <v>ICTVonline=201856390</v>
      </c>
      <c r="AA1109" s="1">
        <v>201850000</v>
      </c>
      <c r="AB1109" s="1">
        <v>34</v>
      </c>
    </row>
    <row r="1110" spans="1:28" x14ac:dyDescent="0.15">
      <c r="A1110" s="1">
        <v>3003</v>
      </c>
      <c r="B1110" s="1" t="s">
        <v>7159</v>
      </c>
      <c r="J1110" s="1" t="s">
        <v>1168</v>
      </c>
      <c r="L1110" s="1" t="s">
        <v>1169</v>
      </c>
      <c r="M1110" s="1" t="s">
        <v>3665</v>
      </c>
      <c r="N1110" s="1" t="s">
        <v>3670</v>
      </c>
      <c r="P1110" s="1" t="s">
        <v>3671</v>
      </c>
      <c r="Q1110" s="3">
        <v>1</v>
      </c>
      <c r="S1110" s="23" t="s">
        <v>5949</v>
      </c>
      <c r="T1110" s="23" t="s">
        <v>4931</v>
      </c>
      <c r="U1110" s="3">
        <v>34</v>
      </c>
      <c r="W1110" s="45" t="str">
        <f>HYPERLINK("http://ictvonline.org/taxonomy/p/taxonomy-history?taxnode_id=201852313","ICTVonline=201852313")</f>
        <v>ICTVonline=201852313</v>
      </c>
      <c r="AA1110" s="1">
        <v>201850000</v>
      </c>
      <c r="AB1110" s="1">
        <v>34</v>
      </c>
    </row>
    <row r="1111" spans="1:28" x14ac:dyDescent="0.15">
      <c r="A1111" s="1">
        <v>3005</v>
      </c>
      <c r="B1111" s="1" t="s">
        <v>7159</v>
      </c>
      <c r="J1111" s="1" t="s">
        <v>1168</v>
      </c>
      <c r="L1111" s="1" t="s">
        <v>1169</v>
      </c>
      <c r="M1111" s="1" t="s">
        <v>3665</v>
      </c>
      <c r="N1111" s="1" t="s">
        <v>3670</v>
      </c>
      <c r="P1111" s="1" t="s">
        <v>3672</v>
      </c>
      <c r="Q1111" s="3">
        <v>0</v>
      </c>
      <c r="S1111" s="23" t="s">
        <v>5949</v>
      </c>
      <c r="T1111" s="23" t="s">
        <v>4931</v>
      </c>
      <c r="U1111" s="3">
        <v>34</v>
      </c>
      <c r="W1111" s="45" t="str">
        <f>HYPERLINK("http://ictvonline.org/taxonomy/p/taxonomy-history?taxnode_id=201852314","ICTVonline=201852314")</f>
        <v>ICTVonline=201852314</v>
      </c>
      <c r="AA1111" s="1">
        <v>201850000</v>
      </c>
      <c r="AB1111" s="1">
        <v>34</v>
      </c>
    </row>
    <row r="1112" spans="1:28" x14ac:dyDescent="0.15">
      <c r="A1112" s="1">
        <v>3009</v>
      </c>
      <c r="B1112" s="1" t="s">
        <v>7159</v>
      </c>
      <c r="J1112" s="1" t="s">
        <v>1168</v>
      </c>
      <c r="L1112" s="1" t="s">
        <v>1169</v>
      </c>
      <c r="M1112" s="1" t="s">
        <v>3665</v>
      </c>
      <c r="N1112" s="1" t="s">
        <v>11</v>
      </c>
      <c r="P1112" s="1" t="s">
        <v>1982</v>
      </c>
      <c r="Q1112" s="3">
        <v>1</v>
      </c>
      <c r="S1112" s="23" t="s">
        <v>5949</v>
      </c>
      <c r="T1112" s="23" t="s">
        <v>4931</v>
      </c>
      <c r="U1112" s="3">
        <v>34</v>
      </c>
      <c r="W1112" s="45" t="str">
        <f>HYPERLINK("http://ictvonline.org/taxonomy/p/taxonomy-history?taxnode_id=201852316","ICTVonline=201852316")</f>
        <v>ICTVonline=201852316</v>
      </c>
      <c r="AA1112" s="1">
        <v>201850000</v>
      </c>
      <c r="AB1112" s="1">
        <v>34</v>
      </c>
    </row>
    <row r="1113" spans="1:28" x14ac:dyDescent="0.15">
      <c r="A1113" s="1">
        <v>3011</v>
      </c>
      <c r="B1113" s="1" t="s">
        <v>7159</v>
      </c>
      <c r="J1113" s="1" t="s">
        <v>1168</v>
      </c>
      <c r="L1113" s="1" t="s">
        <v>1169</v>
      </c>
      <c r="M1113" s="1" t="s">
        <v>3665</v>
      </c>
      <c r="N1113" s="1" t="s">
        <v>11</v>
      </c>
      <c r="P1113" s="1" t="s">
        <v>3673</v>
      </c>
      <c r="Q1113" s="3">
        <v>0</v>
      </c>
      <c r="S1113" s="23" t="s">
        <v>5949</v>
      </c>
      <c r="T1113" s="23" t="s">
        <v>4931</v>
      </c>
      <c r="U1113" s="3">
        <v>34</v>
      </c>
      <c r="W1113" s="45" t="str">
        <f>HYPERLINK("http://ictvonline.org/taxonomy/p/taxonomy-history?taxnode_id=201852317","ICTVonline=201852317")</f>
        <v>ICTVonline=201852317</v>
      </c>
      <c r="AA1113" s="1">
        <v>201850000</v>
      </c>
      <c r="AB1113" s="1">
        <v>34</v>
      </c>
    </row>
    <row r="1114" spans="1:28" x14ac:dyDescent="0.15">
      <c r="A1114" s="1">
        <v>3015</v>
      </c>
      <c r="B1114" s="1" t="s">
        <v>7159</v>
      </c>
      <c r="J1114" s="1" t="s">
        <v>1168</v>
      </c>
      <c r="L1114" s="1" t="s">
        <v>1169</v>
      </c>
      <c r="M1114" s="1" t="s">
        <v>3665</v>
      </c>
      <c r="N1114" s="1" t="s">
        <v>350</v>
      </c>
      <c r="P1114" s="1" t="s">
        <v>1456</v>
      </c>
      <c r="Q1114" s="3">
        <v>1</v>
      </c>
      <c r="S1114" s="23" t="s">
        <v>5949</v>
      </c>
      <c r="T1114" s="23" t="s">
        <v>4931</v>
      </c>
      <c r="U1114" s="3">
        <v>34</v>
      </c>
      <c r="W1114" s="45" t="str">
        <f>HYPERLINK("http://ictvonline.org/taxonomy/p/taxonomy-history?taxnode_id=201852319","ICTVonline=201852319")</f>
        <v>ICTVonline=201852319</v>
      </c>
      <c r="AA1114" s="1">
        <v>201850000</v>
      </c>
      <c r="AB1114" s="1">
        <v>34</v>
      </c>
    </row>
    <row r="1115" spans="1:28" x14ac:dyDescent="0.15">
      <c r="A1115" s="1">
        <v>3017</v>
      </c>
      <c r="B1115" s="1" t="s">
        <v>7159</v>
      </c>
      <c r="J1115" s="1" t="s">
        <v>1168</v>
      </c>
      <c r="L1115" s="1" t="s">
        <v>1169</v>
      </c>
      <c r="M1115" s="1" t="s">
        <v>3665</v>
      </c>
      <c r="N1115" s="1" t="s">
        <v>350</v>
      </c>
      <c r="P1115" s="1" t="s">
        <v>2083</v>
      </c>
      <c r="Q1115" s="3">
        <v>0</v>
      </c>
      <c r="S1115" s="23" t="s">
        <v>5949</v>
      </c>
      <c r="T1115" s="23" t="s">
        <v>4931</v>
      </c>
      <c r="U1115" s="3">
        <v>34</v>
      </c>
      <c r="W1115" s="45" t="str">
        <f>HYPERLINK("http://ictvonline.org/taxonomy/p/taxonomy-history?taxnode_id=201852320","ICTVonline=201852320")</f>
        <v>ICTVonline=201852320</v>
      </c>
      <c r="AA1115" s="1">
        <v>201850000</v>
      </c>
      <c r="AB1115" s="1">
        <v>34</v>
      </c>
    </row>
    <row r="1116" spans="1:28" x14ac:dyDescent="0.15">
      <c r="A1116" s="1">
        <v>3019</v>
      </c>
      <c r="B1116" s="1" t="s">
        <v>7159</v>
      </c>
      <c r="J1116" s="1" t="s">
        <v>1168</v>
      </c>
      <c r="L1116" s="1" t="s">
        <v>1169</v>
      </c>
      <c r="M1116" s="1" t="s">
        <v>3665</v>
      </c>
      <c r="N1116" s="1" t="s">
        <v>350</v>
      </c>
      <c r="P1116" s="1" t="s">
        <v>2084</v>
      </c>
      <c r="Q1116" s="3">
        <v>0</v>
      </c>
      <c r="S1116" s="23" t="s">
        <v>5949</v>
      </c>
      <c r="T1116" s="23" t="s">
        <v>4931</v>
      </c>
      <c r="U1116" s="3">
        <v>34</v>
      </c>
      <c r="W1116" s="45" t="str">
        <f>HYPERLINK("http://ictvonline.org/taxonomy/p/taxonomy-history?taxnode_id=201852321","ICTVonline=201852321")</f>
        <v>ICTVonline=201852321</v>
      </c>
      <c r="AA1116" s="1">
        <v>201850000</v>
      </c>
      <c r="AB1116" s="1">
        <v>34</v>
      </c>
    </row>
    <row r="1117" spans="1:28" x14ac:dyDescent="0.15">
      <c r="A1117" s="1">
        <v>3021</v>
      </c>
      <c r="B1117" s="1" t="s">
        <v>7159</v>
      </c>
      <c r="J1117" s="1" t="s">
        <v>1168</v>
      </c>
      <c r="L1117" s="1" t="s">
        <v>1169</v>
      </c>
      <c r="M1117" s="1" t="s">
        <v>3665</v>
      </c>
      <c r="N1117" s="1" t="s">
        <v>350</v>
      </c>
      <c r="P1117" s="1" t="s">
        <v>2085</v>
      </c>
      <c r="Q1117" s="3">
        <v>0</v>
      </c>
      <c r="S1117" s="23" t="s">
        <v>5949</v>
      </c>
      <c r="T1117" s="23" t="s">
        <v>4931</v>
      </c>
      <c r="U1117" s="3">
        <v>34</v>
      </c>
      <c r="W1117" s="45" t="str">
        <f>HYPERLINK("http://ictvonline.org/taxonomy/p/taxonomy-history?taxnode_id=201852322","ICTVonline=201852322")</f>
        <v>ICTVonline=201852322</v>
      </c>
      <c r="AA1117" s="1">
        <v>201850000</v>
      </c>
      <c r="AB1117" s="1">
        <v>34</v>
      </c>
    </row>
    <row r="1118" spans="1:28" x14ac:dyDescent="0.15">
      <c r="A1118" s="1">
        <v>3023</v>
      </c>
      <c r="B1118" s="1" t="s">
        <v>7159</v>
      </c>
      <c r="J1118" s="1" t="s">
        <v>1168</v>
      </c>
      <c r="L1118" s="1" t="s">
        <v>1169</v>
      </c>
      <c r="M1118" s="1" t="s">
        <v>3665</v>
      </c>
      <c r="N1118" s="1" t="s">
        <v>350</v>
      </c>
      <c r="P1118" s="1" t="s">
        <v>2210</v>
      </c>
      <c r="Q1118" s="3">
        <v>0</v>
      </c>
      <c r="S1118" s="23" t="s">
        <v>5949</v>
      </c>
      <c r="T1118" s="23" t="s">
        <v>4931</v>
      </c>
      <c r="U1118" s="3">
        <v>34</v>
      </c>
      <c r="W1118" s="45" t="str">
        <f>HYPERLINK("http://ictvonline.org/taxonomy/p/taxonomy-history?taxnode_id=201852323","ICTVonline=201852323")</f>
        <v>ICTVonline=201852323</v>
      </c>
      <c r="AA1118" s="1">
        <v>201850000</v>
      </c>
      <c r="AB1118" s="1">
        <v>34</v>
      </c>
    </row>
    <row r="1119" spans="1:28" x14ac:dyDescent="0.15">
      <c r="A1119" s="1">
        <v>3025</v>
      </c>
      <c r="B1119" s="1" t="s">
        <v>7159</v>
      </c>
      <c r="J1119" s="1" t="s">
        <v>1168</v>
      </c>
      <c r="L1119" s="1" t="s">
        <v>1169</v>
      </c>
      <c r="M1119" s="1" t="s">
        <v>3665</v>
      </c>
      <c r="N1119" s="1" t="s">
        <v>350</v>
      </c>
      <c r="P1119" s="1" t="s">
        <v>2086</v>
      </c>
      <c r="Q1119" s="3">
        <v>0</v>
      </c>
      <c r="S1119" s="23" t="s">
        <v>5949</v>
      </c>
      <c r="T1119" s="23" t="s">
        <v>4931</v>
      </c>
      <c r="U1119" s="3">
        <v>34</v>
      </c>
      <c r="W1119" s="45" t="str">
        <f>HYPERLINK("http://ictvonline.org/taxonomy/p/taxonomy-history?taxnode_id=201852324","ICTVonline=201852324")</f>
        <v>ICTVonline=201852324</v>
      </c>
      <c r="AA1119" s="1">
        <v>201850000</v>
      </c>
      <c r="AB1119" s="1">
        <v>34</v>
      </c>
    </row>
    <row r="1120" spans="1:28" x14ac:dyDescent="0.15">
      <c r="A1120" s="1">
        <v>3027</v>
      </c>
      <c r="B1120" s="1" t="s">
        <v>7159</v>
      </c>
      <c r="J1120" s="1" t="s">
        <v>1168</v>
      </c>
      <c r="L1120" s="1" t="s">
        <v>1169</v>
      </c>
      <c r="M1120" s="1" t="s">
        <v>3665</v>
      </c>
      <c r="N1120" s="1" t="s">
        <v>350</v>
      </c>
      <c r="P1120" s="1" t="s">
        <v>2211</v>
      </c>
      <c r="Q1120" s="3">
        <v>0</v>
      </c>
      <c r="S1120" s="23" t="s">
        <v>5949</v>
      </c>
      <c r="T1120" s="23" t="s">
        <v>4931</v>
      </c>
      <c r="U1120" s="3">
        <v>34</v>
      </c>
      <c r="W1120" s="45" t="str">
        <f>HYPERLINK("http://ictvonline.org/taxonomy/p/taxonomy-history?taxnode_id=201852325","ICTVonline=201852325")</f>
        <v>ICTVonline=201852325</v>
      </c>
      <c r="AA1120" s="1">
        <v>201850000</v>
      </c>
      <c r="AB1120" s="1">
        <v>34</v>
      </c>
    </row>
    <row r="1121" spans="1:28" x14ac:dyDescent="0.15">
      <c r="A1121" s="1">
        <v>3031</v>
      </c>
      <c r="B1121" s="1" t="s">
        <v>7159</v>
      </c>
      <c r="J1121" s="1" t="s">
        <v>1168</v>
      </c>
      <c r="L1121" s="1" t="s">
        <v>1169</v>
      </c>
      <c r="M1121" s="1" t="s">
        <v>3665</v>
      </c>
      <c r="N1121" s="1" t="s">
        <v>1642</v>
      </c>
      <c r="P1121" s="1" t="s">
        <v>2214</v>
      </c>
      <c r="Q1121" s="3">
        <v>0</v>
      </c>
      <c r="S1121" s="23" t="s">
        <v>5949</v>
      </c>
      <c r="T1121" s="23" t="s">
        <v>4931</v>
      </c>
      <c r="U1121" s="3">
        <v>34</v>
      </c>
      <c r="W1121" s="45" t="str">
        <f>HYPERLINK("http://ictvonline.org/taxonomy/p/taxonomy-history?taxnode_id=201852327","ICTVonline=201852327")</f>
        <v>ICTVonline=201852327</v>
      </c>
      <c r="AA1121" s="1">
        <v>201850000</v>
      </c>
      <c r="AB1121" s="1">
        <v>34</v>
      </c>
    </row>
    <row r="1122" spans="1:28" x14ac:dyDescent="0.15">
      <c r="A1122" s="1">
        <v>3033</v>
      </c>
      <c r="B1122" s="1" t="s">
        <v>7159</v>
      </c>
      <c r="J1122" s="1" t="s">
        <v>1168</v>
      </c>
      <c r="L1122" s="1" t="s">
        <v>1169</v>
      </c>
      <c r="M1122" s="1" t="s">
        <v>3665</v>
      </c>
      <c r="N1122" s="1" t="s">
        <v>1642</v>
      </c>
      <c r="P1122" s="1" t="s">
        <v>2290</v>
      </c>
      <c r="Q1122" s="3">
        <v>0</v>
      </c>
      <c r="S1122" s="23" t="s">
        <v>5949</v>
      </c>
      <c r="T1122" s="23" t="s">
        <v>4931</v>
      </c>
      <c r="U1122" s="3">
        <v>34</v>
      </c>
      <c r="W1122" s="45" t="str">
        <f>HYPERLINK("http://ictvonline.org/taxonomy/p/taxonomy-history?taxnode_id=201852328","ICTVonline=201852328")</f>
        <v>ICTVonline=201852328</v>
      </c>
      <c r="AA1122" s="1">
        <v>201850000</v>
      </c>
      <c r="AB1122" s="1">
        <v>34</v>
      </c>
    </row>
    <row r="1123" spans="1:28" x14ac:dyDescent="0.15">
      <c r="A1123" s="1">
        <v>3035</v>
      </c>
      <c r="B1123" s="1" t="s">
        <v>7159</v>
      </c>
      <c r="J1123" s="1" t="s">
        <v>1168</v>
      </c>
      <c r="L1123" s="1" t="s">
        <v>1169</v>
      </c>
      <c r="M1123" s="1" t="s">
        <v>3665</v>
      </c>
      <c r="N1123" s="1" t="s">
        <v>1642</v>
      </c>
      <c r="P1123" s="1" t="s">
        <v>5216</v>
      </c>
      <c r="Q1123" s="3">
        <v>0</v>
      </c>
      <c r="S1123" s="23" t="s">
        <v>5949</v>
      </c>
      <c r="T1123" s="23" t="s">
        <v>4931</v>
      </c>
      <c r="U1123" s="3">
        <v>34</v>
      </c>
      <c r="W1123" s="45" t="str">
        <f>HYPERLINK("http://ictvonline.org/taxonomy/p/taxonomy-history?taxnode_id=201855644","ICTVonline=201855644")</f>
        <v>ICTVonline=201855644</v>
      </c>
      <c r="AA1123" s="1">
        <v>201850000</v>
      </c>
      <c r="AB1123" s="1">
        <v>34</v>
      </c>
    </row>
    <row r="1124" spans="1:28" x14ac:dyDescent="0.15">
      <c r="A1124" s="1">
        <v>3037</v>
      </c>
      <c r="B1124" s="1" t="s">
        <v>7159</v>
      </c>
      <c r="J1124" s="1" t="s">
        <v>1168</v>
      </c>
      <c r="L1124" s="1" t="s">
        <v>1169</v>
      </c>
      <c r="M1124" s="1" t="s">
        <v>3665</v>
      </c>
      <c r="N1124" s="1" t="s">
        <v>1642</v>
      </c>
      <c r="P1124" s="1" t="s">
        <v>6937</v>
      </c>
      <c r="Q1124" s="3">
        <v>0</v>
      </c>
      <c r="S1124" s="23" t="s">
        <v>5949</v>
      </c>
      <c r="T1124" s="23" t="s">
        <v>4929</v>
      </c>
      <c r="U1124" s="3">
        <v>34</v>
      </c>
      <c r="V1124" s="3" t="s">
        <v>6938</v>
      </c>
      <c r="W1124" s="45" t="str">
        <f>HYPERLINK("http://ictvonline.org/taxonomy/p/taxonomy-history?taxnode_id=201856439","ICTVonline=201856439")</f>
        <v>ICTVonline=201856439</v>
      </c>
      <c r="AA1124" s="1">
        <v>201850000</v>
      </c>
      <c r="AB1124" s="1">
        <v>34</v>
      </c>
    </row>
    <row r="1125" spans="1:28" x14ac:dyDescent="0.15">
      <c r="A1125" s="1">
        <v>3039</v>
      </c>
      <c r="B1125" s="1" t="s">
        <v>7159</v>
      </c>
      <c r="J1125" s="1" t="s">
        <v>1168</v>
      </c>
      <c r="L1125" s="1" t="s">
        <v>1169</v>
      </c>
      <c r="M1125" s="1" t="s">
        <v>3665</v>
      </c>
      <c r="N1125" s="1" t="s">
        <v>1642</v>
      </c>
      <c r="P1125" s="1" t="s">
        <v>1643</v>
      </c>
      <c r="Q1125" s="3">
        <v>1</v>
      </c>
      <c r="S1125" s="23" t="s">
        <v>5949</v>
      </c>
      <c r="T1125" s="23" t="s">
        <v>4931</v>
      </c>
      <c r="U1125" s="3">
        <v>34</v>
      </c>
      <c r="W1125" s="45" t="str">
        <f>HYPERLINK("http://ictvonline.org/taxonomy/p/taxonomy-history?taxnode_id=201852329","ICTVonline=201852329")</f>
        <v>ICTVonline=201852329</v>
      </c>
      <c r="AA1125" s="1">
        <v>201850000</v>
      </c>
      <c r="AB1125" s="1">
        <v>34</v>
      </c>
    </row>
    <row r="1126" spans="1:28" x14ac:dyDescent="0.15">
      <c r="A1126" s="1">
        <v>3041</v>
      </c>
      <c r="B1126" s="1" t="s">
        <v>7159</v>
      </c>
      <c r="J1126" s="1" t="s">
        <v>1168</v>
      </c>
      <c r="L1126" s="1" t="s">
        <v>1169</v>
      </c>
      <c r="M1126" s="1" t="s">
        <v>3665</v>
      </c>
      <c r="N1126" s="1" t="s">
        <v>1642</v>
      </c>
      <c r="P1126" s="1" t="s">
        <v>511</v>
      </c>
      <c r="Q1126" s="3">
        <v>0</v>
      </c>
      <c r="S1126" s="23" t="s">
        <v>5949</v>
      </c>
      <c r="T1126" s="23" t="s">
        <v>4931</v>
      </c>
      <c r="U1126" s="3">
        <v>34</v>
      </c>
      <c r="W1126" s="45" t="str">
        <f>HYPERLINK("http://ictvonline.org/taxonomy/p/taxonomy-history?taxnode_id=201852330","ICTVonline=201852330")</f>
        <v>ICTVonline=201852330</v>
      </c>
      <c r="AA1126" s="1">
        <v>201850000</v>
      </c>
      <c r="AB1126" s="1">
        <v>34</v>
      </c>
    </row>
    <row r="1127" spans="1:28" x14ac:dyDescent="0.15">
      <c r="A1127" s="1">
        <v>3043</v>
      </c>
      <c r="B1127" s="1" t="s">
        <v>7159</v>
      </c>
      <c r="J1127" s="1" t="s">
        <v>1168</v>
      </c>
      <c r="L1127" s="1" t="s">
        <v>1169</v>
      </c>
      <c r="M1127" s="1" t="s">
        <v>3665</v>
      </c>
      <c r="N1127" s="1" t="s">
        <v>1642</v>
      </c>
      <c r="P1127" s="1" t="s">
        <v>512</v>
      </c>
      <c r="Q1127" s="3">
        <v>0</v>
      </c>
      <c r="S1127" s="23" t="s">
        <v>5949</v>
      </c>
      <c r="T1127" s="23" t="s">
        <v>4931</v>
      </c>
      <c r="U1127" s="3">
        <v>34</v>
      </c>
      <c r="W1127" s="45" t="str">
        <f>HYPERLINK("http://ictvonline.org/taxonomy/p/taxonomy-history?taxnode_id=201852331","ICTVonline=201852331")</f>
        <v>ICTVonline=201852331</v>
      </c>
      <c r="AA1127" s="1">
        <v>201850000</v>
      </c>
      <c r="AB1127" s="1">
        <v>34</v>
      </c>
    </row>
    <row r="1128" spans="1:28" x14ac:dyDescent="0.15">
      <c r="A1128" s="1">
        <v>3045</v>
      </c>
      <c r="B1128" s="1" t="s">
        <v>7159</v>
      </c>
      <c r="J1128" s="1" t="s">
        <v>1168</v>
      </c>
      <c r="L1128" s="1" t="s">
        <v>1169</v>
      </c>
      <c r="M1128" s="1" t="s">
        <v>3665</v>
      </c>
      <c r="N1128" s="1" t="s">
        <v>1642</v>
      </c>
      <c r="P1128" s="1" t="s">
        <v>1527</v>
      </c>
      <c r="Q1128" s="3">
        <v>0</v>
      </c>
      <c r="S1128" s="23" t="s">
        <v>5949</v>
      </c>
      <c r="T1128" s="23" t="s">
        <v>4931</v>
      </c>
      <c r="U1128" s="3">
        <v>34</v>
      </c>
      <c r="W1128" s="45" t="str">
        <f>HYPERLINK("http://ictvonline.org/taxonomy/p/taxonomy-history?taxnode_id=201852332","ICTVonline=201852332")</f>
        <v>ICTVonline=201852332</v>
      </c>
      <c r="AA1128" s="1">
        <v>201850000</v>
      </c>
      <c r="AB1128" s="1">
        <v>34</v>
      </c>
    </row>
    <row r="1129" spans="1:28" x14ac:dyDescent="0.15">
      <c r="A1129" s="1">
        <v>3047</v>
      </c>
      <c r="B1129" s="1" t="s">
        <v>7159</v>
      </c>
      <c r="J1129" s="1" t="s">
        <v>1168</v>
      </c>
      <c r="L1129" s="1" t="s">
        <v>1169</v>
      </c>
      <c r="M1129" s="1" t="s">
        <v>3665</v>
      </c>
      <c r="N1129" s="1" t="s">
        <v>1642</v>
      </c>
      <c r="P1129" s="1" t="s">
        <v>2326</v>
      </c>
      <c r="Q1129" s="3">
        <v>0</v>
      </c>
      <c r="S1129" s="23" t="s">
        <v>5949</v>
      </c>
      <c r="T1129" s="23" t="s">
        <v>4931</v>
      </c>
      <c r="U1129" s="3">
        <v>34</v>
      </c>
      <c r="W1129" s="45" t="str">
        <f>HYPERLINK("http://ictvonline.org/taxonomy/p/taxonomy-history?taxnode_id=201852333","ICTVonline=201852333")</f>
        <v>ICTVonline=201852333</v>
      </c>
      <c r="AA1129" s="1">
        <v>201850000</v>
      </c>
      <c r="AB1129" s="1">
        <v>34</v>
      </c>
    </row>
    <row r="1130" spans="1:28" x14ac:dyDescent="0.15">
      <c r="A1130" s="1">
        <v>3049</v>
      </c>
      <c r="B1130" s="1" t="s">
        <v>7159</v>
      </c>
      <c r="J1130" s="1" t="s">
        <v>1168</v>
      </c>
      <c r="L1130" s="1" t="s">
        <v>1169</v>
      </c>
      <c r="M1130" s="1" t="s">
        <v>3665</v>
      </c>
      <c r="N1130" s="1" t="s">
        <v>1642</v>
      </c>
      <c r="P1130" s="1" t="s">
        <v>6939</v>
      </c>
      <c r="Q1130" s="3">
        <v>0</v>
      </c>
      <c r="S1130" s="23" t="s">
        <v>5949</v>
      </c>
      <c r="T1130" s="23" t="s">
        <v>4929</v>
      </c>
      <c r="U1130" s="3">
        <v>34</v>
      </c>
      <c r="V1130" s="3" t="s">
        <v>6940</v>
      </c>
      <c r="W1130" s="45" t="str">
        <f>HYPERLINK("http://ictvonline.org/taxonomy/p/taxonomy-history?taxnode_id=201856476","ICTVonline=201856476")</f>
        <v>ICTVonline=201856476</v>
      </c>
      <c r="AA1130" s="1">
        <v>201850000</v>
      </c>
      <c r="AB1130" s="1">
        <v>34</v>
      </c>
    </row>
    <row r="1131" spans="1:28" x14ac:dyDescent="0.15">
      <c r="A1131" s="1">
        <v>3051</v>
      </c>
      <c r="B1131" s="1" t="s">
        <v>7159</v>
      </c>
      <c r="J1131" s="1" t="s">
        <v>1168</v>
      </c>
      <c r="L1131" s="1" t="s">
        <v>1169</v>
      </c>
      <c r="M1131" s="1" t="s">
        <v>3665</v>
      </c>
      <c r="N1131" s="1" t="s">
        <v>1642</v>
      </c>
      <c r="P1131" s="1" t="s">
        <v>6941</v>
      </c>
      <c r="Q1131" s="3">
        <v>0</v>
      </c>
      <c r="S1131" s="23" t="s">
        <v>5949</v>
      </c>
      <c r="T1131" s="23" t="s">
        <v>4929</v>
      </c>
      <c r="U1131" s="3">
        <v>34</v>
      </c>
      <c r="V1131" s="3" t="s">
        <v>6942</v>
      </c>
      <c r="W1131" s="45" t="str">
        <f>HYPERLINK("http://ictvonline.org/taxonomy/p/taxonomy-history?taxnode_id=201856481","ICTVonline=201856481")</f>
        <v>ICTVonline=201856481</v>
      </c>
      <c r="AA1131" s="1">
        <v>201850000</v>
      </c>
      <c r="AB1131" s="1">
        <v>34</v>
      </c>
    </row>
    <row r="1132" spans="1:28" x14ac:dyDescent="0.15">
      <c r="A1132" s="1">
        <v>3053</v>
      </c>
      <c r="B1132" s="1" t="s">
        <v>7159</v>
      </c>
      <c r="J1132" s="1" t="s">
        <v>1168</v>
      </c>
      <c r="L1132" s="1" t="s">
        <v>1169</v>
      </c>
      <c r="M1132" s="1" t="s">
        <v>3665</v>
      </c>
      <c r="N1132" s="1" t="s">
        <v>1642</v>
      </c>
      <c r="P1132" s="1" t="s">
        <v>6943</v>
      </c>
      <c r="Q1132" s="3">
        <v>0</v>
      </c>
      <c r="S1132" s="23" t="s">
        <v>5949</v>
      </c>
      <c r="T1132" s="23" t="s">
        <v>4929</v>
      </c>
      <c r="U1132" s="3">
        <v>34</v>
      </c>
      <c r="V1132" s="3" t="s">
        <v>6944</v>
      </c>
      <c r="W1132" s="45" t="str">
        <f>HYPERLINK("http://ictvonline.org/taxonomy/p/taxonomy-history?taxnode_id=201856487","ICTVonline=201856487")</f>
        <v>ICTVonline=201856487</v>
      </c>
      <c r="AA1132" s="1">
        <v>201850000</v>
      </c>
      <c r="AB1132" s="1">
        <v>34</v>
      </c>
    </row>
    <row r="1133" spans="1:28" x14ac:dyDescent="0.15">
      <c r="A1133" s="1">
        <v>3055</v>
      </c>
      <c r="B1133" s="1" t="s">
        <v>7159</v>
      </c>
      <c r="J1133" s="1" t="s">
        <v>1168</v>
      </c>
      <c r="L1133" s="1" t="s">
        <v>1169</v>
      </c>
      <c r="M1133" s="1" t="s">
        <v>3665</v>
      </c>
      <c r="N1133" s="1" t="s">
        <v>1642</v>
      </c>
      <c r="P1133" s="1" t="s">
        <v>6945</v>
      </c>
      <c r="Q1133" s="3">
        <v>0</v>
      </c>
      <c r="S1133" s="23" t="s">
        <v>5949</v>
      </c>
      <c r="T1133" s="23" t="s">
        <v>4929</v>
      </c>
      <c r="U1133" s="3">
        <v>34</v>
      </c>
      <c r="V1133" s="3" t="s">
        <v>6946</v>
      </c>
      <c r="W1133" s="45" t="str">
        <f>HYPERLINK("http://ictvonline.org/taxonomy/p/taxonomy-history?taxnode_id=201856493","ICTVonline=201856493")</f>
        <v>ICTVonline=201856493</v>
      </c>
      <c r="AA1133" s="1">
        <v>201850000</v>
      </c>
      <c r="AB1133" s="1">
        <v>34</v>
      </c>
    </row>
    <row r="1134" spans="1:28" x14ac:dyDescent="0.15">
      <c r="A1134" s="1">
        <v>3057</v>
      </c>
      <c r="B1134" s="1" t="s">
        <v>7159</v>
      </c>
      <c r="J1134" s="1" t="s">
        <v>1168</v>
      </c>
      <c r="L1134" s="1" t="s">
        <v>1169</v>
      </c>
      <c r="M1134" s="1" t="s">
        <v>3665</v>
      </c>
      <c r="N1134" s="1" t="s">
        <v>1642</v>
      </c>
      <c r="P1134" s="1" t="s">
        <v>2088</v>
      </c>
      <c r="Q1134" s="3">
        <v>0</v>
      </c>
      <c r="S1134" s="23" t="s">
        <v>5949</v>
      </c>
      <c r="T1134" s="23" t="s">
        <v>4931</v>
      </c>
      <c r="U1134" s="3">
        <v>34</v>
      </c>
      <c r="W1134" s="45" t="str">
        <f>HYPERLINK("http://ictvonline.org/taxonomy/p/taxonomy-history?taxnode_id=201852334","ICTVonline=201852334")</f>
        <v>ICTVonline=201852334</v>
      </c>
      <c r="AA1134" s="1">
        <v>201850000</v>
      </c>
      <c r="AB1134" s="1">
        <v>34</v>
      </c>
    </row>
    <row r="1135" spans="1:28" x14ac:dyDescent="0.15">
      <c r="A1135" s="1">
        <v>3059</v>
      </c>
      <c r="B1135" s="1" t="s">
        <v>7159</v>
      </c>
      <c r="J1135" s="1" t="s">
        <v>1168</v>
      </c>
      <c r="L1135" s="1" t="s">
        <v>1169</v>
      </c>
      <c r="M1135" s="1" t="s">
        <v>3665</v>
      </c>
      <c r="N1135" s="1" t="s">
        <v>1642</v>
      </c>
      <c r="P1135" s="1" t="s">
        <v>2116</v>
      </c>
      <c r="Q1135" s="3">
        <v>0</v>
      </c>
      <c r="S1135" s="23" t="s">
        <v>5949</v>
      </c>
      <c r="T1135" s="23" t="s">
        <v>4931</v>
      </c>
      <c r="U1135" s="3">
        <v>34</v>
      </c>
      <c r="W1135" s="45" t="str">
        <f>HYPERLINK("http://ictvonline.org/taxonomy/p/taxonomy-history?taxnode_id=201852335","ICTVonline=201852335")</f>
        <v>ICTVonline=201852335</v>
      </c>
      <c r="AA1135" s="1">
        <v>201850000</v>
      </c>
      <c r="AB1135" s="1">
        <v>34</v>
      </c>
    </row>
    <row r="1136" spans="1:28" x14ac:dyDescent="0.15">
      <c r="A1136" s="1">
        <v>3063</v>
      </c>
      <c r="B1136" s="1" t="s">
        <v>7159</v>
      </c>
      <c r="J1136" s="1" t="s">
        <v>1168</v>
      </c>
      <c r="L1136" s="1" t="s">
        <v>1169</v>
      </c>
      <c r="M1136" s="1" t="s">
        <v>3665</v>
      </c>
      <c r="N1136" s="1" t="s">
        <v>6947</v>
      </c>
      <c r="P1136" s="1" t="s">
        <v>6948</v>
      </c>
      <c r="Q1136" s="3">
        <v>1</v>
      </c>
      <c r="S1136" s="23" t="s">
        <v>5949</v>
      </c>
      <c r="T1136" s="23" t="s">
        <v>4929</v>
      </c>
      <c r="U1136" s="3">
        <v>34</v>
      </c>
      <c r="V1136" s="3" t="s">
        <v>6949</v>
      </c>
      <c r="W1136" s="45" t="str">
        <f>HYPERLINK("http://ictvonline.org/taxonomy/p/taxonomy-history?taxnode_id=201856419","ICTVonline=201856419")</f>
        <v>ICTVonline=201856419</v>
      </c>
      <c r="AA1136" s="1">
        <v>201850000</v>
      </c>
      <c r="AB1136" s="1">
        <v>34</v>
      </c>
    </row>
    <row r="1137" spans="1:28" x14ac:dyDescent="0.15">
      <c r="A1137" s="1">
        <v>3070</v>
      </c>
      <c r="B1137" s="1" t="s">
        <v>7159</v>
      </c>
      <c r="J1137" s="1" t="s">
        <v>1168</v>
      </c>
      <c r="L1137" s="1" t="s">
        <v>5217</v>
      </c>
      <c r="N1137" s="1" t="s">
        <v>5218</v>
      </c>
      <c r="P1137" s="1" t="s">
        <v>5219</v>
      </c>
      <c r="Q1137" s="3">
        <v>0</v>
      </c>
      <c r="S1137" s="23" t="s">
        <v>5949</v>
      </c>
      <c r="T1137" s="23" t="s">
        <v>4931</v>
      </c>
      <c r="U1137" s="3">
        <v>34</v>
      </c>
      <c r="W1137" s="45" t="str">
        <f>HYPERLINK("http://ictvonline.org/taxonomy/p/taxonomy-history?taxnode_id=201855645","ICTVonline=201855645")</f>
        <v>ICTVonline=201855645</v>
      </c>
      <c r="AA1137" s="1">
        <v>201850000</v>
      </c>
      <c r="AB1137" s="1">
        <v>34</v>
      </c>
    </row>
    <row r="1138" spans="1:28" x14ac:dyDescent="0.15">
      <c r="A1138" s="1">
        <v>3072</v>
      </c>
      <c r="B1138" s="1" t="s">
        <v>7159</v>
      </c>
      <c r="J1138" s="1" t="s">
        <v>1168</v>
      </c>
      <c r="L1138" s="1" t="s">
        <v>5217</v>
      </c>
      <c r="N1138" s="1" t="s">
        <v>5218</v>
      </c>
      <c r="P1138" s="1" t="s">
        <v>5220</v>
      </c>
      <c r="Q1138" s="3">
        <v>1</v>
      </c>
      <c r="S1138" s="23" t="s">
        <v>5949</v>
      </c>
      <c r="T1138" s="23" t="s">
        <v>4931</v>
      </c>
      <c r="U1138" s="3">
        <v>34</v>
      </c>
      <c r="W1138" s="45" t="str">
        <f>HYPERLINK("http://ictvonline.org/taxonomy/p/taxonomy-history?taxnode_id=201855646","ICTVonline=201855646")</f>
        <v>ICTVonline=201855646</v>
      </c>
      <c r="AA1138" s="1">
        <v>201850000</v>
      </c>
      <c r="AB1138" s="1">
        <v>34</v>
      </c>
    </row>
    <row r="1139" spans="1:28" x14ac:dyDescent="0.15">
      <c r="A1139" s="1">
        <v>3074</v>
      </c>
      <c r="B1139" s="1" t="s">
        <v>7159</v>
      </c>
      <c r="J1139" s="1" t="s">
        <v>1168</v>
      </c>
      <c r="L1139" s="1" t="s">
        <v>5217</v>
      </c>
      <c r="N1139" s="1" t="s">
        <v>5218</v>
      </c>
      <c r="P1139" s="1" t="s">
        <v>5221</v>
      </c>
      <c r="Q1139" s="3">
        <v>0</v>
      </c>
      <c r="S1139" s="23" t="s">
        <v>5949</v>
      </c>
      <c r="T1139" s="23" t="s">
        <v>4931</v>
      </c>
      <c r="U1139" s="3">
        <v>34</v>
      </c>
      <c r="W1139" s="45" t="str">
        <f>HYPERLINK("http://ictvonline.org/taxonomy/p/taxonomy-history?taxnode_id=201855647","ICTVonline=201855647")</f>
        <v>ICTVonline=201855647</v>
      </c>
      <c r="AA1139" s="1">
        <v>201850000</v>
      </c>
      <c r="AB1139" s="1">
        <v>34</v>
      </c>
    </row>
    <row r="1140" spans="1:28" x14ac:dyDescent="0.15">
      <c r="A1140" s="1">
        <v>3080</v>
      </c>
      <c r="B1140" s="1" t="s">
        <v>7159</v>
      </c>
      <c r="J1140" s="1" t="s">
        <v>1168</v>
      </c>
      <c r="L1140" s="1" t="s">
        <v>1688</v>
      </c>
      <c r="N1140" s="1" t="s">
        <v>297</v>
      </c>
      <c r="P1140" s="1" t="s">
        <v>294</v>
      </c>
      <c r="Q1140" s="3">
        <v>1</v>
      </c>
      <c r="S1140" s="23" t="s">
        <v>5949</v>
      </c>
      <c r="T1140" s="23" t="s">
        <v>4931</v>
      </c>
      <c r="U1140" s="3">
        <v>34</v>
      </c>
      <c r="W1140" s="45" t="str">
        <f>HYPERLINK("http://ictvonline.org/taxonomy/p/taxonomy-history?taxnode_id=201852340","ICTVonline=201852340")</f>
        <v>ICTVonline=201852340</v>
      </c>
      <c r="AA1140" s="1">
        <v>201850000</v>
      </c>
      <c r="AB1140" s="1">
        <v>34</v>
      </c>
    </row>
    <row r="1141" spans="1:28" x14ac:dyDescent="0.15">
      <c r="A1141" s="1">
        <v>3086</v>
      </c>
      <c r="B1141" s="1" t="s">
        <v>7159</v>
      </c>
      <c r="J1141" s="1" t="s">
        <v>1168</v>
      </c>
      <c r="L1141" s="1" t="s">
        <v>1337</v>
      </c>
      <c r="N1141" s="1" t="s">
        <v>1338</v>
      </c>
      <c r="P1141" s="1" t="s">
        <v>1339</v>
      </c>
      <c r="Q1141" s="3">
        <v>1</v>
      </c>
      <c r="S1141" s="23" t="s">
        <v>5949</v>
      </c>
      <c r="T1141" s="23" t="s">
        <v>4931</v>
      </c>
      <c r="U1141" s="3">
        <v>34</v>
      </c>
      <c r="W1141" s="45" t="str">
        <f>HYPERLINK("http://ictvonline.org/taxonomy/p/taxonomy-history?taxnode_id=201852344","ICTVonline=201852344")</f>
        <v>ICTVonline=201852344</v>
      </c>
      <c r="AA1141" s="1">
        <v>201850000</v>
      </c>
      <c r="AB1141" s="1">
        <v>34</v>
      </c>
    </row>
    <row r="1142" spans="1:28" x14ac:dyDescent="0.15">
      <c r="A1142" s="1">
        <v>3090</v>
      </c>
      <c r="B1142" s="1" t="s">
        <v>7159</v>
      </c>
      <c r="J1142" s="1" t="s">
        <v>1168</v>
      </c>
      <c r="L1142" s="1" t="s">
        <v>1337</v>
      </c>
      <c r="N1142" s="1" t="s">
        <v>1340</v>
      </c>
      <c r="P1142" s="1" t="s">
        <v>1328</v>
      </c>
      <c r="Q1142" s="3">
        <v>0</v>
      </c>
      <c r="S1142" s="23" t="s">
        <v>5949</v>
      </c>
      <c r="T1142" s="23" t="s">
        <v>4931</v>
      </c>
      <c r="U1142" s="3">
        <v>34</v>
      </c>
      <c r="W1142" s="45" t="str">
        <f>HYPERLINK("http://ictvonline.org/taxonomy/p/taxonomy-history?taxnode_id=201852346","ICTVonline=201852346")</f>
        <v>ICTVonline=201852346</v>
      </c>
      <c r="AA1142" s="1">
        <v>201850000</v>
      </c>
      <c r="AB1142" s="1">
        <v>34</v>
      </c>
    </row>
    <row r="1143" spans="1:28" x14ac:dyDescent="0.15">
      <c r="A1143" s="1">
        <v>3092</v>
      </c>
      <c r="B1143" s="1" t="s">
        <v>7159</v>
      </c>
      <c r="J1143" s="1" t="s">
        <v>1168</v>
      </c>
      <c r="L1143" s="1" t="s">
        <v>1337</v>
      </c>
      <c r="N1143" s="1" t="s">
        <v>1340</v>
      </c>
      <c r="P1143" s="1" t="s">
        <v>14</v>
      </c>
      <c r="Q1143" s="3">
        <v>0</v>
      </c>
      <c r="S1143" s="23" t="s">
        <v>5949</v>
      </c>
      <c r="T1143" s="23" t="s">
        <v>4931</v>
      </c>
      <c r="U1143" s="3">
        <v>34</v>
      </c>
      <c r="W1143" s="45" t="str">
        <f>HYPERLINK("http://ictvonline.org/taxonomy/p/taxonomy-history?taxnode_id=201852347","ICTVonline=201852347")</f>
        <v>ICTVonline=201852347</v>
      </c>
      <c r="AA1143" s="1">
        <v>201850000</v>
      </c>
      <c r="AB1143" s="1">
        <v>34</v>
      </c>
    </row>
    <row r="1144" spans="1:28" x14ac:dyDescent="0.15">
      <c r="A1144" s="1">
        <v>3094</v>
      </c>
      <c r="B1144" s="1" t="s">
        <v>7159</v>
      </c>
      <c r="J1144" s="1" t="s">
        <v>1168</v>
      </c>
      <c r="L1144" s="1" t="s">
        <v>1337</v>
      </c>
      <c r="N1144" s="1" t="s">
        <v>1340</v>
      </c>
      <c r="P1144" s="1" t="s">
        <v>1329</v>
      </c>
      <c r="Q1144" s="3">
        <v>0</v>
      </c>
      <c r="S1144" s="23" t="s">
        <v>5949</v>
      </c>
      <c r="T1144" s="23" t="s">
        <v>4931</v>
      </c>
      <c r="U1144" s="3">
        <v>34</v>
      </c>
      <c r="W1144" s="45" t="str">
        <f>HYPERLINK("http://ictvonline.org/taxonomy/p/taxonomy-history?taxnode_id=201852348","ICTVonline=201852348")</f>
        <v>ICTVonline=201852348</v>
      </c>
      <c r="AA1144" s="1">
        <v>201850000</v>
      </c>
      <c r="AB1144" s="1">
        <v>34</v>
      </c>
    </row>
    <row r="1145" spans="1:28" x14ac:dyDescent="0.15">
      <c r="A1145" s="1">
        <v>3096</v>
      </c>
      <c r="B1145" s="1" t="s">
        <v>7159</v>
      </c>
      <c r="J1145" s="1" t="s">
        <v>1168</v>
      </c>
      <c r="L1145" s="1" t="s">
        <v>1337</v>
      </c>
      <c r="N1145" s="1" t="s">
        <v>1340</v>
      </c>
      <c r="P1145" s="1" t="s">
        <v>5222</v>
      </c>
      <c r="Q1145" s="3">
        <v>0</v>
      </c>
      <c r="S1145" s="23" t="s">
        <v>5949</v>
      </c>
      <c r="T1145" s="23" t="s">
        <v>4931</v>
      </c>
      <c r="U1145" s="3">
        <v>34</v>
      </c>
      <c r="W1145" s="45" t="str">
        <f>HYPERLINK("http://ictvonline.org/taxonomy/p/taxonomy-history?taxnode_id=201855650","ICTVonline=201855650")</f>
        <v>ICTVonline=201855650</v>
      </c>
      <c r="AA1145" s="1">
        <v>201850000</v>
      </c>
      <c r="AB1145" s="1">
        <v>34</v>
      </c>
    </row>
    <row r="1146" spans="1:28" x14ac:dyDescent="0.15">
      <c r="A1146" s="1">
        <v>3098</v>
      </c>
      <c r="B1146" s="1" t="s">
        <v>7159</v>
      </c>
      <c r="J1146" s="1" t="s">
        <v>1168</v>
      </c>
      <c r="L1146" s="1" t="s">
        <v>1337</v>
      </c>
      <c r="N1146" s="1" t="s">
        <v>1340</v>
      </c>
      <c r="P1146" s="1" t="s">
        <v>15</v>
      </c>
      <c r="Q1146" s="3">
        <v>0</v>
      </c>
      <c r="S1146" s="23" t="s">
        <v>5949</v>
      </c>
      <c r="T1146" s="23" t="s">
        <v>4931</v>
      </c>
      <c r="U1146" s="3">
        <v>34</v>
      </c>
      <c r="W1146" s="45" t="str">
        <f>HYPERLINK("http://ictvonline.org/taxonomy/p/taxonomy-history?taxnode_id=201852349","ICTVonline=201852349")</f>
        <v>ICTVonline=201852349</v>
      </c>
      <c r="AA1146" s="1">
        <v>201850000</v>
      </c>
      <c r="AB1146" s="1">
        <v>34</v>
      </c>
    </row>
    <row r="1147" spans="1:28" x14ac:dyDescent="0.15">
      <c r="A1147" s="1">
        <v>3100</v>
      </c>
      <c r="B1147" s="1" t="s">
        <v>7159</v>
      </c>
      <c r="J1147" s="1" t="s">
        <v>1168</v>
      </c>
      <c r="L1147" s="1" t="s">
        <v>1337</v>
      </c>
      <c r="N1147" s="1" t="s">
        <v>1340</v>
      </c>
      <c r="P1147" s="1" t="s">
        <v>1330</v>
      </c>
      <c r="Q1147" s="3">
        <v>1</v>
      </c>
      <c r="S1147" s="23" t="s">
        <v>5949</v>
      </c>
      <c r="T1147" s="23" t="s">
        <v>4931</v>
      </c>
      <c r="U1147" s="3">
        <v>34</v>
      </c>
      <c r="W1147" s="45" t="str">
        <f>HYPERLINK("http://ictvonline.org/taxonomy/p/taxonomy-history?taxnode_id=201852350","ICTVonline=201852350")</f>
        <v>ICTVonline=201852350</v>
      </c>
      <c r="AA1147" s="1">
        <v>201850000</v>
      </c>
      <c r="AB1147" s="1">
        <v>34</v>
      </c>
    </row>
    <row r="1148" spans="1:28" x14ac:dyDescent="0.15">
      <c r="A1148" s="1">
        <v>3102</v>
      </c>
      <c r="B1148" s="1" t="s">
        <v>7159</v>
      </c>
      <c r="J1148" s="1" t="s">
        <v>1168</v>
      </c>
      <c r="L1148" s="1" t="s">
        <v>1337</v>
      </c>
      <c r="N1148" s="1" t="s">
        <v>1340</v>
      </c>
      <c r="P1148" s="1" t="s">
        <v>4615</v>
      </c>
      <c r="Q1148" s="3">
        <v>0</v>
      </c>
      <c r="S1148" s="23" t="s">
        <v>5949</v>
      </c>
      <c r="T1148" s="23" t="s">
        <v>4931</v>
      </c>
      <c r="U1148" s="3">
        <v>34</v>
      </c>
      <c r="W1148" s="45" t="str">
        <f>HYPERLINK("http://ictvonline.org/taxonomy/p/taxonomy-history?taxnode_id=201852351","ICTVonline=201852351")</f>
        <v>ICTVonline=201852351</v>
      </c>
      <c r="AA1148" s="1">
        <v>201850000</v>
      </c>
      <c r="AB1148" s="1">
        <v>34</v>
      </c>
    </row>
    <row r="1149" spans="1:28" x14ac:dyDescent="0.15">
      <c r="A1149" s="1">
        <v>3104</v>
      </c>
      <c r="B1149" s="1" t="s">
        <v>7159</v>
      </c>
      <c r="J1149" s="1" t="s">
        <v>1168</v>
      </c>
      <c r="L1149" s="1" t="s">
        <v>1337</v>
      </c>
      <c r="N1149" s="1" t="s">
        <v>1340</v>
      </c>
      <c r="P1149" s="1" t="s">
        <v>1331</v>
      </c>
      <c r="Q1149" s="3">
        <v>0</v>
      </c>
      <c r="S1149" s="23" t="s">
        <v>5949</v>
      </c>
      <c r="T1149" s="23" t="s">
        <v>4931</v>
      </c>
      <c r="U1149" s="3">
        <v>34</v>
      </c>
      <c r="W1149" s="45" t="str">
        <f>HYPERLINK("http://ictvonline.org/taxonomy/p/taxonomy-history?taxnode_id=201852352","ICTVonline=201852352")</f>
        <v>ICTVonline=201852352</v>
      </c>
      <c r="AA1149" s="1">
        <v>201850000</v>
      </c>
      <c r="AB1149" s="1">
        <v>34</v>
      </c>
    </row>
    <row r="1150" spans="1:28" x14ac:dyDescent="0.15">
      <c r="A1150" s="1">
        <v>3106</v>
      </c>
      <c r="B1150" s="1" t="s">
        <v>7159</v>
      </c>
      <c r="J1150" s="1" t="s">
        <v>1168</v>
      </c>
      <c r="L1150" s="1" t="s">
        <v>1337</v>
      </c>
      <c r="N1150" s="1" t="s">
        <v>1340</v>
      </c>
      <c r="P1150" s="1" t="s">
        <v>16</v>
      </c>
      <c r="Q1150" s="3">
        <v>0</v>
      </c>
      <c r="S1150" s="23" t="s">
        <v>5949</v>
      </c>
      <c r="T1150" s="23" t="s">
        <v>4931</v>
      </c>
      <c r="U1150" s="3">
        <v>34</v>
      </c>
      <c r="W1150" s="45" t="str">
        <f>HYPERLINK("http://ictvonline.org/taxonomy/p/taxonomy-history?taxnode_id=201852353","ICTVonline=201852353")</f>
        <v>ICTVonline=201852353</v>
      </c>
      <c r="AA1150" s="1">
        <v>201850000</v>
      </c>
      <c r="AB1150" s="1">
        <v>34</v>
      </c>
    </row>
    <row r="1151" spans="1:28" x14ac:dyDescent="0.15">
      <c r="A1151" s="1">
        <v>3108</v>
      </c>
      <c r="B1151" s="1" t="s">
        <v>7159</v>
      </c>
      <c r="J1151" s="1" t="s">
        <v>1168</v>
      </c>
      <c r="L1151" s="1" t="s">
        <v>1337</v>
      </c>
      <c r="N1151" s="1" t="s">
        <v>1340</v>
      </c>
      <c r="P1151" s="1" t="s">
        <v>5223</v>
      </c>
      <c r="Q1151" s="3">
        <v>0</v>
      </c>
      <c r="S1151" s="23" t="s">
        <v>5949</v>
      </c>
      <c r="T1151" s="23" t="s">
        <v>4931</v>
      </c>
      <c r="U1151" s="3">
        <v>34</v>
      </c>
      <c r="W1151" s="45" t="str">
        <f>HYPERLINK("http://ictvonline.org/taxonomy/p/taxonomy-history?taxnode_id=201855651","ICTVonline=201855651")</f>
        <v>ICTVonline=201855651</v>
      </c>
      <c r="AA1151" s="1">
        <v>201850000</v>
      </c>
      <c r="AB1151" s="1">
        <v>34</v>
      </c>
    </row>
    <row r="1152" spans="1:28" x14ac:dyDescent="0.15">
      <c r="A1152" s="1">
        <v>3112</v>
      </c>
      <c r="B1152" s="1" t="s">
        <v>7159</v>
      </c>
      <c r="J1152" s="1" t="s">
        <v>1168</v>
      </c>
      <c r="L1152" s="1" t="s">
        <v>1337</v>
      </c>
      <c r="N1152" s="1" t="s">
        <v>1479</v>
      </c>
      <c r="P1152" s="1" t="s">
        <v>1480</v>
      </c>
      <c r="Q1152" s="3">
        <v>0</v>
      </c>
      <c r="S1152" s="23" t="s">
        <v>5949</v>
      </c>
      <c r="T1152" s="23" t="s">
        <v>4931</v>
      </c>
      <c r="U1152" s="3">
        <v>34</v>
      </c>
      <c r="W1152" s="45" t="str">
        <f>HYPERLINK("http://ictvonline.org/taxonomy/p/taxonomy-history?taxnode_id=201852355","ICTVonline=201852355")</f>
        <v>ICTVonline=201852355</v>
      </c>
      <c r="AA1152" s="1">
        <v>201850000</v>
      </c>
      <c r="AB1152" s="1">
        <v>34</v>
      </c>
    </row>
    <row r="1153" spans="1:28" x14ac:dyDescent="0.15">
      <c r="A1153" s="1">
        <v>3114</v>
      </c>
      <c r="B1153" s="1" t="s">
        <v>7159</v>
      </c>
      <c r="J1153" s="1" t="s">
        <v>1168</v>
      </c>
      <c r="L1153" s="1" t="s">
        <v>1337</v>
      </c>
      <c r="N1153" s="1" t="s">
        <v>1479</v>
      </c>
      <c r="P1153" s="1" t="s">
        <v>1481</v>
      </c>
      <c r="Q1153" s="3">
        <v>0</v>
      </c>
      <c r="S1153" s="23" t="s">
        <v>5949</v>
      </c>
      <c r="T1153" s="23" t="s">
        <v>4931</v>
      </c>
      <c r="U1153" s="3">
        <v>34</v>
      </c>
      <c r="W1153" s="45" t="str">
        <f>HYPERLINK("http://ictvonline.org/taxonomy/p/taxonomy-history?taxnode_id=201852356","ICTVonline=201852356")</f>
        <v>ICTVonline=201852356</v>
      </c>
      <c r="AA1153" s="1">
        <v>201850000</v>
      </c>
      <c r="AB1153" s="1">
        <v>34</v>
      </c>
    </row>
    <row r="1154" spans="1:28" x14ac:dyDescent="0.15">
      <c r="A1154" s="1">
        <v>3116</v>
      </c>
      <c r="B1154" s="1" t="s">
        <v>7159</v>
      </c>
      <c r="J1154" s="1" t="s">
        <v>1168</v>
      </c>
      <c r="L1154" s="1" t="s">
        <v>1337</v>
      </c>
      <c r="N1154" s="1" t="s">
        <v>1479</v>
      </c>
      <c r="P1154" s="1" t="s">
        <v>2327</v>
      </c>
      <c r="Q1154" s="3">
        <v>0</v>
      </c>
      <c r="S1154" s="23" t="s">
        <v>5949</v>
      </c>
      <c r="T1154" s="23" t="s">
        <v>4931</v>
      </c>
      <c r="U1154" s="3">
        <v>34</v>
      </c>
      <c r="W1154" s="45" t="str">
        <f>HYPERLINK("http://ictvonline.org/taxonomy/p/taxonomy-history?taxnode_id=201852357","ICTVonline=201852357")</f>
        <v>ICTVonline=201852357</v>
      </c>
      <c r="AA1154" s="1">
        <v>201850000</v>
      </c>
      <c r="AB1154" s="1">
        <v>34</v>
      </c>
    </row>
    <row r="1155" spans="1:28" x14ac:dyDescent="0.15">
      <c r="A1155" s="1">
        <v>3118</v>
      </c>
      <c r="B1155" s="1" t="s">
        <v>7159</v>
      </c>
      <c r="J1155" s="1" t="s">
        <v>1168</v>
      </c>
      <c r="L1155" s="1" t="s">
        <v>1337</v>
      </c>
      <c r="N1155" s="1" t="s">
        <v>1479</v>
      </c>
      <c r="P1155" s="1" t="s">
        <v>1482</v>
      </c>
      <c r="Q1155" s="3">
        <v>0</v>
      </c>
      <c r="S1155" s="23" t="s">
        <v>5949</v>
      </c>
      <c r="T1155" s="23" t="s">
        <v>4931</v>
      </c>
      <c r="U1155" s="3">
        <v>34</v>
      </c>
      <c r="W1155" s="45" t="str">
        <f>HYPERLINK("http://ictvonline.org/taxonomy/p/taxonomy-history?taxnode_id=201852358","ICTVonline=201852358")</f>
        <v>ICTVonline=201852358</v>
      </c>
      <c r="AA1155" s="1">
        <v>201850000</v>
      </c>
      <c r="AB1155" s="1">
        <v>34</v>
      </c>
    </row>
    <row r="1156" spans="1:28" x14ac:dyDescent="0.15">
      <c r="A1156" s="1">
        <v>3120</v>
      </c>
      <c r="B1156" s="1" t="s">
        <v>7159</v>
      </c>
      <c r="J1156" s="1" t="s">
        <v>1168</v>
      </c>
      <c r="L1156" s="1" t="s">
        <v>1337</v>
      </c>
      <c r="N1156" s="1" t="s">
        <v>1479</v>
      </c>
      <c r="P1156" s="1" t="s">
        <v>1483</v>
      </c>
      <c r="Q1156" s="3">
        <v>0</v>
      </c>
      <c r="S1156" s="23" t="s">
        <v>5949</v>
      </c>
      <c r="T1156" s="23" t="s">
        <v>4931</v>
      </c>
      <c r="U1156" s="3">
        <v>34</v>
      </c>
      <c r="W1156" s="45" t="str">
        <f>HYPERLINK("http://ictvonline.org/taxonomy/p/taxonomy-history?taxnode_id=201852359","ICTVonline=201852359")</f>
        <v>ICTVonline=201852359</v>
      </c>
      <c r="AA1156" s="1">
        <v>201850000</v>
      </c>
      <c r="AB1156" s="1">
        <v>34</v>
      </c>
    </row>
    <row r="1157" spans="1:28" x14ac:dyDescent="0.15">
      <c r="A1157" s="1">
        <v>3122</v>
      </c>
      <c r="B1157" s="1" t="s">
        <v>7159</v>
      </c>
      <c r="J1157" s="1" t="s">
        <v>1168</v>
      </c>
      <c r="L1157" s="1" t="s">
        <v>1337</v>
      </c>
      <c r="N1157" s="1" t="s">
        <v>1479</v>
      </c>
      <c r="P1157" s="1" t="s">
        <v>1484</v>
      </c>
      <c r="Q1157" s="3">
        <v>0</v>
      </c>
      <c r="S1157" s="23" t="s">
        <v>5949</v>
      </c>
      <c r="T1157" s="23" t="s">
        <v>4931</v>
      </c>
      <c r="U1157" s="3">
        <v>34</v>
      </c>
      <c r="W1157" s="45" t="str">
        <f>HYPERLINK("http://ictvonline.org/taxonomy/p/taxonomy-history?taxnode_id=201852360","ICTVonline=201852360")</f>
        <v>ICTVonline=201852360</v>
      </c>
      <c r="AA1157" s="1">
        <v>201850000</v>
      </c>
      <c r="AB1157" s="1">
        <v>34</v>
      </c>
    </row>
    <row r="1158" spans="1:28" x14ac:dyDescent="0.15">
      <c r="A1158" s="1">
        <v>3124</v>
      </c>
      <c r="B1158" s="1" t="s">
        <v>7159</v>
      </c>
      <c r="J1158" s="1" t="s">
        <v>1168</v>
      </c>
      <c r="L1158" s="1" t="s">
        <v>1337</v>
      </c>
      <c r="N1158" s="1" t="s">
        <v>1479</v>
      </c>
      <c r="P1158" s="1" t="s">
        <v>1485</v>
      </c>
      <c r="Q1158" s="3">
        <v>0</v>
      </c>
      <c r="S1158" s="23" t="s">
        <v>5949</v>
      </c>
      <c r="T1158" s="23" t="s">
        <v>4931</v>
      </c>
      <c r="U1158" s="3">
        <v>34</v>
      </c>
      <c r="W1158" s="45" t="str">
        <f>HYPERLINK("http://ictvonline.org/taxonomy/p/taxonomy-history?taxnode_id=201852361","ICTVonline=201852361")</f>
        <v>ICTVonline=201852361</v>
      </c>
      <c r="AA1158" s="1">
        <v>201850000</v>
      </c>
      <c r="AB1158" s="1">
        <v>34</v>
      </c>
    </row>
    <row r="1159" spans="1:28" x14ac:dyDescent="0.15">
      <c r="A1159" s="1">
        <v>3126</v>
      </c>
      <c r="B1159" s="1" t="s">
        <v>7159</v>
      </c>
      <c r="J1159" s="1" t="s">
        <v>1168</v>
      </c>
      <c r="L1159" s="1" t="s">
        <v>1337</v>
      </c>
      <c r="N1159" s="1" t="s">
        <v>1479</v>
      </c>
      <c r="P1159" s="1" t="s">
        <v>17</v>
      </c>
      <c r="Q1159" s="3">
        <v>0</v>
      </c>
      <c r="S1159" s="23" t="s">
        <v>5949</v>
      </c>
      <c r="T1159" s="23" t="s">
        <v>4931</v>
      </c>
      <c r="U1159" s="3">
        <v>34</v>
      </c>
      <c r="W1159" s="45" t="str">
        <f>HYPERLINK("http://ictvonline.org/taxonomy/p/taxonomy-history?taxnode_id=201852362","ICTVonline=201852362")</f>
        <v>ICTVonline=201852362</v>
      </c>
      <c r="AA1159" s="1">
        <v>201850000</v>
      </c>
      <c r="AB1159" s="1">
        <v>34</v>
      </c>
    </row>
    <row r="1160" spans="1:28" x14ac:dyDescent="0.15">
      <c r="A1160" s="1">
        <v>3128</v>
      </c>
      <c r="B1160" s="1" t="s">
        <v>7159</v>
      </c>
      <c r="J1160" s="1" t="s">
        <v>1168</v>
      </c>
      <c r="L1160" s="1" t="s">
        <v>1337</v>
      </c>
      <c r="N1160" s="1" t="s">
        <v>1479</v>
      </c>
      <c r="P1160" s="1" t="s">
        <v>1486</v>
      </c>
      <c r="Q1160" s="3">
        <v>0</v>
      </c>
      <c r="S1160" s="23" t="s">
        <v>5949</v>
      </c>
      <c r="T1160" s="23" t="s">
        <v>4931</v>
      </c>
      <c r="U1160" s="3">
        <v>34</v>
      </c>
      <c r="W1160" s="45" t="str">
        <f>HYPERLINK("http://ictvonline.org/taxonomy/p/taxonomy-history?taxnode_id=201852363","ICTVonline=201852363")</f>
        <v>ICTVonline=201852363</v>
      </c>
      <c r="AA1160" s="1">
        <v>201850000</v>
      </c>
      <c r="AB1160" s="1">
        <v>34</v>
      </c>
    </row>
    <row r="1161" spans="1:28" x14ac:dyDescent="0.15">
      <c r="A1161" s="1">
        <v>3130</v>
      </c>
      <c r="B1161" s="1" t="s">
        <v>7159</v>
      </c>
      <c r="J1161" s="1" t="s">
        <v>1168</v>
      </c>
      <c r="L1161" s="1" t="s">
        <v>1337</v>
      </c>
      <c r="N1161" s="1" t="s">
        <v>1479</v>
      </c>
      <c r="P1161" s="1" t="s">
        <v>1457</v>
      </c>
      <c r="Q1161" s="3">
        <v>0</v>
      </c>
      <c r="S1161" s="23" t="s">
        <v>5949</v>
      </c>
      <c r="T1161" s="23" t="s">
        <v>4931</v>
      </c>
      <c r="U1161" s="3">
        <v>34</v>
      </c>
      <c r="W1161" s="45" t="str">
        <f>HYPERLINK("http://ictvonline.org/taxonomy/p/taxonomy-history?taxnode_id=201852364","ICTVonline=201852364")</f>
        <v>ICTVonline=201852364</v>
      </c>
      <c r="AA1161" s="1">
        <v>201850000</v>
      </c>
      <c r="AB1161" s="1">
        <v>34</v>
      </c>
    </row>
    <row r="1162" spans="1:28" x14ac:dyDescent="0.15">
      <c r="A1162" s="1">
        <v>3132</v>
      </c>
      <c r="B1162" s="1" t="s">
        <v>7159</v>
      </c>
      <c r="J1162" s="1" t="s">
        <v>1168</v>
      </c>
      <c r="L1162" s="1" t="s">
        <v>1337</v>
      </c>
      <c r="N1162" s="1" t="s">
        <v>1479</v>
      </c>
      <c r="P1162" s="1" t="s">
        <v>1458</v>
      </c>
      <c r="Q1162" s="3">
        <v>0</v>
      </c>
      <c r="S1162" s="23" t="s">
        <v>5949</v>
      </c>
      <c r="T1162" s="23" t="s">
        <v>4931</v>
      </c>
      <c r="U1162" s="3">
        <v>34</v>
      </c>
      <c r="W1162" s="45" t="str">
        <f>HYPERLINK("http://ictvonline.org/taxonomy/p/taxonomy-history?taxnode_id=201852365","ICTVonline=201852365")</f>
        <v>ICTVonline=201852365</v>
      </c>
      <c r="AA1162" s="1">
        <v>201850000</v>
      </c>
      <c r="AB1162" s="1">
        <v>34</v>
      </c>
    </row>
    <row r="1163" spans="1:28" x14ac:dyDescent="0.15">
      <c r="A1163" s="1">
        <v>3134</v>
      </c>
      <c r="B1163" s="1" t="s">
        <v>7159</v>
      </c>
      <c r="J1163" s="1" t="s">
        <v>1168</v>
      </c>
      <c r="L1163" s="1" t="s">
        <v>1337</v>
      </c>
      <c r="N1163" s="1" t="s">
        <v>1479</v>
      </c>
      <c r="P1163" s="1" t="s">
        <v>1459</v>
      </c>
      <c r="Q1163" s="3">
        <v>0</v>
      </c>
      <c r="S1163" s="23" t="s">
        <v>5949</v>
      </c>
      <c r="T1163" s="23" t="s">
        <v>4931</v>
      </c>
      <c r="U1163" s="3">
        <v>34</v>
      </c>
      <c r="W1163" s="45" t="str">
        <f>HYPERLINK("http://ictvonline.org/taxonomy/p/taxonomy-history?taxnode_id=201852366","ICTVonline=201852366")</f>
        <v>ICTVonline=201852366</v>
      </c>
      <c r="AA1163" s="1">
        <v>201850000</v>
      </c>
      <c r="AB1163" s="1">
        <v>34</v>
      </c>
    </row>
    <row r="1164" spans="1:28" x14ac:dyDescent="0.15">
      <c r="A1164" s="1">
        <v>3136</v>
      </c>
      <c r="B1164" s="1" t="s">
        <v>7159</v>
      </c>
      <c r="J1164" s="1" t="s">
        <v>1168</v>
      </c>
      <c r="L1164" s="1" t="s">
        <v>1337</v>
      </c>
      <c r="N1164" s="1" t="s">
        <v>1479</v>
      </c>
      <c r="P1164" s="1" t="s">
        <v>1460</v>
      </c>
      <c r="Q1164" s="3">
        <v>0</v>
      </c>
      <c r="S1164" s="23" t="s">
        <v>5949</v>
      </c>
      <c r="T1164" s="23" t="s">
        <v>4931</v>
      </c>
      <c r="U1164" s="3">
        <v>34</v>
      </c>
      <c r="W1164" s="45" t="str">
        <f>HYPERLINK("http://ictvonline.org/taxonomy/p/taxonomy-history?taxnode_id=201852367","ICTVonline=201852367")</f>
        <v>ICTVonline=201852367</v>
      </c>
      <c r="AA1164" s="1">
        <v>201850000</v>
      </c>
      <c r="AB1164" s="1">
        <v>34</v>
      </c>
    </row>
    <row r="1165" spans="1:28" x14ac:dyDescent="0.15">
      <c r="A1165" s="1">
        <v>3138</v>
      </c>
      <c r="B1165" s="1" t="s">
        <v>7159</v>
      </c>
      <c r="J1165" s="1" t="s">
        <v>1168</v>
      </c>
      <c r="L1165" s="1" t="s">
        <v>1337</v>
      </c>
      <c r="N1165" s="1" t="s">
        <v>1479</v>
      </c>
      <c r="P1165" s="1" t="s">
        <v>363</v>
      </c>
      <c r="Q1165" s="3">
        <v>0</v>
      </c>
      <c r="S1165" s="23" t="s">
        <v>5949</v>
      </c>
      <c r="T1165" s="23" t="s">
        <v>4931</v>
      </c>
      <c r="U1165" s="3">
        <v>34</v>
      </c>
      <c r="W1165" s="45" t="str">
        <f>HYPERLINK("http://ictvonline.org/taxonomy/p/taxonomy-history?taxnode_id=201852368","ICTVonline=201852368")</f>
        <v>ICTVonline=201852368</v>
      </c>
      <c r="AA1165" s="1">
        <v>201850000</v>
      </c>
      <c r="AB1165" s="1">
        <v>34</v>
      </c>
    </row>
    <row r="1166" spans="1:28" x14ac:dyDescent="0.15">
      <c r="A1166" s="1">
        <v>3140</v>
      </c>
      <c r="B1166" s="1" t="s">
        <v>7159</v>
      </c>
      <c r="J1166" s="1" t="s">
        <v>1168</v>
      </c>
      <c r="L1166" s="1" t="s">
        <v>1337</v>
      </c>
      <c r="N1166" s="1" t="s">
        <v>1479</v>
      </c>
      <c r="P1166" s="1" t="s">
        <v>364</v>
      </c>
      <c r="Q1166" s="3">
        <v>0</v>
      </c>
      <c r="S1166" s="23" t="s">
        <v>5949</v>
      </c>
      <c r="T1166" s="23" t="s">
        <v>4931</v>
      </c>
      <c r="U1166" s="3">
        <v>34</v>
      </c>
      <c r="W1166" s="45" t="str">
        <f>HYPERLINK("http://ictvonline.org/taxonomy/p/taxonomy-history?taxnode_id=201852369","ICTVonline=201852369")</f>
        <v>ICTVonline=201852369</v>
      </c>
      <c r="AA1166" s="1">
        <v>201850000</v>
      </c>
      <c r="AB1166" s="1">
        <v>34</v>
      </c>
    </row>
    <row r="1167" spans="1:28" x14ac:dyDescent="0.15">
      <c r="A1167" s="1">
        <v>3142</v>
      </c>
      <c r="B1167" s="1" t="s">
        <v>7159</v>
      </c>
      <c r="J1167" s="1" t="s">
        <v>1168</v>
      </c>
      <c r="L1167" s="1" t="s">
        <v>1337</v>
      </c>
      <c r="N1167" s="1" t="s">
        <v>1479</v>
      </c>
      <c r="P1167" s="1" t="s">
        <v>365</v>
      </c>
      <c r="Q1167" s="3">
        <v>0</v>
      </c>
      <c r="S1167" s="23" t="s">
        <v>5949</v>
      </c>
      <c r="T1167" s="23" t="s">
        <v>4931</v>
      </c>
      <c r="U1167" s="3">
        <v>34</v>
      </c>
      <c r="W1167" s="45" t="str">
        <f>HYPERLINK("http://ictvonline.org/taxonomy/p/taxonomy-history?taxnode_id=201852370","ICTVonline=201852370")</f>
        <v>ICTVonline=201852370</v>
      </c>
      <c r="AA1167" s="1">
        <v>201850000</v>
      </c>
      <c r="AB1167" s="1">
        <v>34</v>
      </c>
    </row>
    <row r="1168" spans="1:28" x14ac:dyDescent="0.15">
      <c r="A1168" s="1">
        <v>3144</v>
      </c>
      <c r="B1168" s="1" t="s">
        <v>7159</v>
      </c>
      <c r="J1168" s="1" t="s">
        <v>1168</v>
      </c>
      <c r="L1168" s="1" t="s">
        <v>1337</v>
      </c>
      <c r="N1168" s="1" t="s">
        <v>1479</v>
      </c>
      <c r="P1168" s="1" t="s">
        <v>1464</v>
      </c>
      <c r="Q1168" s="3">
        <v>0</v>
      </c>
      <c r="S1168" s="23" t="s">
        <v>5949</v>
      </c>
      <c r="T1168" s="23" t="s">
        <v>4931</v>
      </c>
      <c r="U1168" s="3">
        <v>34</v>
      </c>
      <c r="W1168" s="45" t="str">
        <f>HYPERLINK("http://ictvonline.org/taxonomy/p/taxonomy-history?taxnode_id=201852371","ICTVonline=201852371")</f>
        <v>ICTVonline=201852371</v>
      </c>
      <c r="AA1168" s="1">
        <v>201850000</v>
      </c>
      <c r="AB1168" s="1">
        <v>34</v>
      </c>
    </row>
    <row r="1169" spans="1:28" x14ac:dyDescent="0.15">
      <c r="A1169" s="1">
        <v>3146</v>
      </c>
      <c r="B1169" s="1" t="s">
        <v>7159</v>
      </c>
      <c r="J1169" s="1" t="s">
        <v>1168</v>
      </c>
      <c r="L1169" s="1" t="s">
        <v>1337</v>
      </c>
      <c r="N1169" s="1" t="s">
        <v>1479</v>
      </c>
      <c r="P1169" s="1" t="s">
        <v>1465</v>
      </c>
      <c r="Q1169" s="3">
        <v>0</v>
      </c>
      <c r="S1169" s="23" t="s">
        <v>5949</v>
      </c>
      <c r="T1169" s="23" t="s">
        <v>4931</v>
      </c>
      <c r="U1169" s="3">
        <v>34</v>
      </c>
      <c r="W1169" s="45" t="str">
        <f>HYPERLINK("http://ictvonline.org/taxonomy/p/taxonomy-history?taxnode_id=201852372","ICTVonline=201852372")</f>
        <v>ICTVonline=201852372</v>
      </c>
      <c r="AA1169" s="1">
        <v>201850000</v>
      </c>
      <c r="AB1169" s="1">
        <v>34</v>
      </c>
    </row>
    <row r="1170" spans="1:28" x14ac:dyDescent="0.15">
      <c r="A1170" s="1">
        <v>3148</v>
      </c>
      <c r="B1170" s="1" t="s">
        <v>7159</v>
      </c>
      <c r="J1170" s="1" t="s">
        <v>1168</v>
      </c>
      <c r="L1170" s="1" t="s">
        <v>1337</v>
      </c>
      <c r="N1170" s="1" t="s">
        <v>1479</v>
      </c>
      <c r="P1170" s="1" t="s">
        <v>367</v>
      </c>
      <c r="Q1170" s="3">
        <v>0</v>
      </c>
      <c r="S1170" s="23" t="s">
        <v>5949</v>
      </c>
      <c r="T1170" s="23" t="s">
        <v>4931</v>
      </c>
      <c r="U1170" s="3">
        <v>34</v>
      </c>
      <c r="W1170" s="45" t="str">
        <f>HYPERLINK("http://ictvonline.org/taxonomy/p/taxonomy-history?taxnode_id=201852373","ICTVonline=201852373")</f>
        <v>ICTVonline=201852373</v>
      </c>
      <c r="AA1170" s="1">
        <v>201850000</v>
      </c>
      <c r="AB1170" s="1">
        <v>34</v>
      </c>
    </row>
    <row r="1171" spans="1:28" x14ac:dyDescent="0.15">
      <c r="A1171" s="1">
        <v>3150</v>
      </c>
      <c r="B1171" s="1" t="s">
        <v>7159</v>
      </c>
      <c r="J1171" s="1" t="s">
        <v>1168</v>
      </c>
      <c r="L1171" s="1" t="s">
        <v>1337</v>
      </c>
      <c r="N1171" s="1" t="s">
        <v>1479</v>
      </c>
      <c r="P1171" s="1" t="s">
        <v>368</v>
      </c>
      <c r="Q1171" s="3">
        <v>0</v>
      </c>
      <c r="S1171" s="23" t="s">
        <v>5949</v>
      </c>
      <c r="T1171" s="23" t="s">
        <v>4931</v>
      </c>
      <c r="U1171" s="3">
        <v>34</v>
      </c>
      <c r="W1171" s="45" t="str">
        <f>HYPERLINK("http://ictvonline.org/taxonomy/p/taxonomy-history?taxnode_id=201852374","ICTVonline=201852374")</f>
        <v>ICTVonline=201852374</v>
      </c>
      <c r="AA1171" s="1">
        <v>201850000</v>
      </c>
      <c r="AB1171" s="1">
        <v>34</v>
      </c>
    </row>
    <row r="1172" spans="1:28" x14ac:dyDescent="0.15">
      <c r="A1172" s="1">
        <v>3152</v>
      </c>
      <c r="B1172" s="1" t="s">
        <v>7159</v>
      </c>
      <c r="J1172" s="1" t="s">
        <v>1168</v>
      </c>
      <c r="L1172" s="1" t="s">
        <v>1337</v>
      </c>
      <c r="N1172" s="1" t="s">
        <v>1479</v>
      </c>
      <c r="P1172" s="1" t="s">
        <v>369</v>
      </c>
      <c r="Q1172" s="3">
        <v>0</v>
      </c>
      <c r="S1172" s="23" t="s">
        <v>5949</v>
      </c>
      <c r="T1172" s="23" t="s">
        <v>4931</v>
      </c>
      <c r="U1172" s="3">
        <v>34</v>
      </c>
      <c r="W1172" s="45" t="str">
        <f>HYPERLINK("http://ictvonline.org/taxonomy/p/taxonomy-history?taxnode_id=201852375","ICTVonline=201852375")</f>
        <v>ICTVonline=201852375</v>
      </c>
      <c r="AA1172" s="1">
        <v>201850000</v>
      </c>
      <c r="AB1172" s="1">
        <v>34</v>
      </c>
    </row>
    <row r="1173" spans="1:28" x14ac:dyDescent="0.15">
      <c r="A1173" s="1">
        <v>3154</v>
      </c>
      <c r="B1173" s="1" t="s">
        <v>7159</v>
      </c>
      <c r="J1173" s="1" t="s">
        <v>1168</v>
      </c>
      <c r="L1173" s="1" t="s">
        <v>1337</v>
      </c>
      <c r="N1173" s="1" t="s">
        <v>1479</v>
      </c>
      <c r="P1173" s="1" t="s">
        <v>370</v>
      </c>
      <c r="Q1173" s="3">
        <v>0</v>
      </c>
      <c r="S1173" s="23" t="s">
        <v>5949</v>
      </c>
      <c r="T1173" s="23" t="s">
        <v>4931</v>
      </c>
      <c r="U1173" s="3">
        <v>34</v>
      </c>
      <c r="W1173" s="45" t="str">
        <f>HYPERLINK("http://ictvonline.org/taxonomy/p/taxonomy-history?taxnode_id=201852376","ICTVonline=201852376")</f>
        <v>ICTVonline=201852376</v>
      </c>
      <c r="AA1173" s="1">
        <v>201850000</v>
      </c>
      <c r="AB1173" s="1">
        <v>34</v>
      </c>
    </row>
    <row r="1174" spans="1:28" x14ac:dyDescent="0.15">
      <c r="A1174" s="1">
        <v>3156</v>
      </c>
      <c r="B1174" s="1" t="s">
        <v>7159</v>
      </c>
      <c r="J1174" s="1" t="s">
        <v>1168</v>
      </c>
      <c r="L1174" s="1" t="s">
        <v>1337</v>
      </c>
      <c r="N1174" s="1" t="s">
        <v>1479</v>
      </c>
      <c r="P1174" s="1" t="s">
        <v>371</v>
      </c>
      <c r="Q1174" s="3">
        <v>0</v>
      </c>
      <c r="S1174" s="23" t="s">
        <v>5949</v>
      </c>
      <c r="T1174" s="23" t="s">
        <v>4931</v>
      </c>
      <c r="U1174" s="3">
        <v>34</v>
      </c>
      <c r="W1174" s="45" t="str">
        <f>HYPERLINK("http://ictvonline.org/taxonomy/p/taxonomy-history?taxnode_id=201852377","ICTVonline=201852377")</f>
        <v>ICTVonline=201852377</v>
      </c>
      <c r="AA1174" s="1">
        <v>201850000</v>
      </c>
      <c r="AB1174" s="1">
        <v>34</v>
      </c>
    </row>
    <row r="1175" spans="1:28" x14ac:dyDescent="0.15">
      <c r="A1175" s="1">
        <v>3158</v>
      </c>
      <c r="B1175" s="1" t="s">
        <v>7159</v>
      </c>
      <c r="J1175" s="1" t="s">
        <v>1168</v>
      </c>
      <c r="L1175" s="1" t="s">
        <v>1337</v>
      </c>
      <c r="N1175" s="1" t="s">
        <v>1479</v>
      </c>
      <c r="P1175" s="1" t="s">
        <v>245</v>
      </c>
      <c r="Q1175" s="3">
        <v>0</v>
      </c>
      <c r="S1175" s="23" t="s">
        <v>5949</v>
      </c>
      <c r="T1175" s="23" t="s">
        <v>4931</v>
      </c>
      <c r="U1175" s="3">
        <v>34</v>
      </c>
      <c r="W1175" s="45" t="str">
        <f>HYPERLINK("http://ictvonline.org/taxonomy/p/taxonomy-history?taxnode_id=201852378","ICTVonline=201852378")</f>
        <v>ICTVonline=201852378</v>
      </c>
      <c r="AA1175" s="1">
        <v>201850000</v>
      </c>
      <c r="AB1175" s="1">
        <v>34</v>
      </c>
    </row>
    <row r="1176" spans="1:28" x14ac:dyDescent="0.15">
      <c r="A1176" s="1">
        <v>3160</v>
      </c>
      <c r="B1176" s="1" t="s">
        <v>7159</v>
      </c>
      <c r="J1176" s="1" t="s">
        <v>1168</v>
      </c>
      <c r="L1176" s="1" t="s">
        <v>1337</v>
      </c>
      <c r="N1176" s="1" t="s">
        <v>1479</v>
      </c>
      <c r="P1176" s="1" t="s">
        <v>4616</v>
      </c>
      <c r="Q1176" s="3">
        <v>0</v>
      </c>
      <c r="S1176" s="23" t="s">
        <v>5949</v>
      </c>
      <c r="T1176" s="23" t="s">
        <v>4931</v>
      </c>
      <c r="U1176" s="3">
        <v>34</v>
      </c>
      <c r="W1176" s="45" t="str">
        <f>HYPERLINK("http://ictvonline.org/taxonomy/p/taxonomy-history?taxnode_id=201852379","ICTVonline=201852379")</f>
        <v>ICTVonline=201852379</v>
      </c>
      <c r="AA1176" s="1">
        <v>201850000</v>
      </c>
      <c r="AB1176" s="1">
        <v>34</v>
      </c>
    </row>
    <row r="1177" spans="1:28" x14ac:dyDescent="0.15">
      <c r="A1177" s="1">
        <v>3162</v>
      </c>
      <c r="B1177" s="1" t="s">
        <v>7159</v>
      </c>
      <c r="J1177" s="1" t="s">
        <v>1168</v>
      </c>
      <c r="L1177" s="1" t="s">
        <v>1337</v>
      </c>
      <c r="N1177" s="1" t="s">
        <v>1479</v>
      </c>
      <c r="P1177" s="1" t="s">
        <v>1252</v>
      </c>
      <c r="Q1177" s="3">
        <v>1</v>
      </c>
      <c r="S1177" s="23" t="s">
        <v>5949</v>
      </c>
      <c r="T1177" s="23" t="s">
        <v>4931</v>
      </c>
      <c r="U1177" s="3">
        <v>34</v>
      </c>
      <c r="W1177" s="45" t="str">
        <f>HYPERLINK("http://ictvonline.org/taxonomy/p/taxonomy-history?taxnode_id=201852380","ICTVonline=201852380")</f>
        <v>ICTVonline=201852380</v>
      </c>
      <c r="AA1177" s="1">
        <v>201850000</v>
      </c>
      <c r="AB1177" s="1">
        <v>34</v>
      </c>
    </row>
    <row r="1178" spans="1:28" x14ac:dyDescent="0.15">
      <c r="A1178" s="1">
        <v>3164</v>
      </c>
      <c r="B1178" s="1" t="s">
        <v>7159</v>
      </c>
      <c r="J1178" s="1" t="s">
        <v>1168</v>
      </c>
      <c r="L1178" s="1" t="s">
        <v>1337</v>
      </c>
      <c r="N1178" s="1" t="s">
        <v>1479</v>
      </c>
      <c r="P1178" s="1" t="s">
        <v>1253</v>
      </c>
      <c r="Q1178" s="3">
        <v>0</v>
      </c>
      <c r="S1178" s="23" t="s">
        <v>5949</v>
      </c>
      <c r="T1178" s="23" t="s">
        <v>4931</v>
      </c>
      <c r="U1178" s="3">
        <v>34</v>
      </c>
      <c r="W1178" s="45" t="str">
        <f>HYPERLINK("http://ictvonline.org/taxonomy/p/taxonomy-history?taxnode_id=201852381","ICTVonline=201852381")</f>
        <v>ICTVonline=201852381</v>
      </c>
      <c r="AA1178" s="1">
        <v>201850000</v>
      </c>
      <c r="AB1178" s="1">
        <v>34</v>
      </c>
    </row>
    <row r="1179" spans="1:28" x14ac:dyDescent="0.15">
      <c r="A1179" s="1">
        <v>3166</v>
      </c>
      <c r="B1179" s="1" t="s">
        <v>7159</v>
      </c>
      <c r="J1179" s="1" t="s">
        <v>1168</v>
      </c>
      <c r="L1179" s="1" t="s">
        <v>1337</v>
      </c>
      <c r="N1179" s="1" t="s">
        <v>1479</v>
      </c>
      <c r="P1179" s="1" t="s">
        <v>1254</v>
      </c>
      <c r="Q1179" s="3">
        <v>0</v>
      </c>
      <c r="S1179" s="23" t="s">
        <v>5949</v>
      </c>
      <c r="T1179" s="23" t="s">
        <v>4931</v>
      </c>
      <c r="U1179" s="3">
        <v>34</v>
      </c>
      <c r="W1179" s="45" t="str">
        <f>HYPERLINK("http://ictvonline.org/taxonomy/p/taxonomy-history?taxnode_id=201852382","ICTVonline=201852382")</f>
        <v>ICTVonline=201852382</v>
      </c>
      <c r="AA1179" s="1">
        <v>201850000</v>
      </c>
      <c r="AB1179" s="1">
        <v>34</v>
      </c>
    </row>
    <row r="1180" spans="1:28" x14ac:dyDescent="0.15">
      <c r="A1180" s="1">
        <v>3169</v>
      </c>
      <c r="B1180" s="1" t="s">
        <v>7159</v>
      </c>
      <c r="J1180" s="1" t="s">
        <v>1168</v>
      </c>
      <c r="L1180" s="1" t="s">
        <v>1337</v>
      </c>
      <c r="P1180" s="1" t="s">
        <v>12</v>
      </c>
      <c r="Q1180" s="3">
        <v>0</v>
      </c>
      <c r="S1180" s="23" t="s">
        <v>5949</v>
      </c>
      <c r="T1180" s="23" t="s">
        <v>4931</v>
      </c>
      <c r="U1180" s="3">
        <v>34</v>
      </c>
      <c r="W1180" s="45" t="str">
        <f>HYPERLINK("http://ictvonline.org/taxonomy/p/taxonomy-history?taxnode_id=201852384","ICTVonline=201852384")</f>
        <v>ICTVonline=201852384</v>
      </c>
      <c r="AA1180" s="1">
        <v>201850000</v>
      </c>
      <c r="AB1180" s="1">
        <v>34</v>
      </c>
    </row>
    <row r="1181" spans="1:28" x14ac:dyDescent="0.15">
      <c r="A1181" s="1">
        <v>3171</v>
      </c>
      <c r="B1181" s="1" t="s">
        <v>7159</v>
      </c>
      <c r="J1181" s="1" t="s">
        <v>1168</v>
      </c>
      <c r="L1181" s="1" t="s">
        <v>1337</v>
      </c>
      <c r="P1181" s="1" t="s">
        <v>13</v>
      </c>
      <c r="Q1181" s="3">
        <v>0</v>
      </c>
      <c r="S1181" s="23" t="s">
        <v>5949</v>
      </c>
      <c r="T1181" s="23" t="s">
        <v>4931</v>
      </c>
      <c r="U1181" s="3">
        <v>34</v>
      </c>
      <c r="W1181" s="45" t="str">
        <f>HYPERLINK("http://ictvonline.org/taxonomy/p/taxonomy-history?taxnode_id=201852385","ICTVonline=201852385")</f>
        <v>ICTVonline=201852385</v>
      </c>
      <c r="AA1181" s="1">
        <v>201850000</v>
      </c>
      <c r="AB1181" s="1">
        <v>34</v>
      </c>
    </row>
    <row r="1182" spans="1:28" x14ac:dyDescent="0.15">
      <c r="A1182" s="1">
        <v>3177</v>
      </c>
      <c r="B1182" s="1" t="s">
        <v>7159</v>
      </c>
      <c r="L1182" s="1" t="s">
        <v>18</v>
      </c>
      <c r="N1182" s="1" t="s">
        <v>1876</v>
      </c>
      <c r="P1182" s="1" t="s">
        <v>1877</v>
      </c>
      <c r="Q1182" s="3">
        <v>0</v>
      </c>
      <c r="S1182" s="23" t="s">
        <v>5949</v>
      </c>
      <c r="T1182" s="23" t="s">
        <v>4931</v>
      </c>
      <c r="U1182" s="3">
        <v>34</v>
      </c>
      <c r="W1182" s="45" t="str">
        <f>HYPERLINK("http://ictvonline.org/taxonomy/p/taxonomy-history?taxnode_id=201852459","ICTVonline=201852459")</f>
        <v>ICTVonline=201852459</v>
      </c>
      <c r="AA1182" s="1">
        <v>201850000</v>
      </c>
      <c r="AB1182" s="1">
        <v>34</v>
      </c>
    </row>
    <row r="1183" spans="1:28" x14ac:dyDescent="0.15">
      <c r="A1183" s="1">
        <v>3179</v>
      </c>
      <c r="B1183" s="1" t="s">
        <v>7159</v>
      </c>
      <c r="L1183" s="1" t="s">
        <v>18</v>
      </c>
      <c r="N1183" s="1" t="s">
        <v>1876</v>
      </c>
      <c r="P1183" s="1" t="s">
        <v>1878</v>
      </c>
      <c r="Q1183" s="3">
        <v>0</v>
      </c>
      <c r="S1183" s="23" t="s">
        <v>5949</v>
      </c>
      <c r="T1183" s="23" t="s">
        <v>4931</v>
      </c>
      <c r="U1183" s="3">
        <v>34</v>
      </c>
      <c r="W1183" s="45" t="str">
        <f>HYPERLINK("http://ictvonline.org/taxonomy/p/taxonomy-history?taxnode_id=201852460","ICTVonline=201852460")</f>
        <v>ICTVonline=201852460</v>
      </c>
      <c r="AA1183" s="1">
        <v>201850000</v>
      </c>
      <c r="AB1183" s="1">
        <v>34</v>
      </c>
    </row>
    <row r="1184" spans="1:28" x14ac:dyDescent="0.15">
      <c r="A1184" s="1">
        <v>3181</v>
      </c>
      <c r="B1184" s="1" t="s">
        <v>7159</v>
      </c>
      <c r="L1184" s="1" t="s">
        <v>18</v>
      </c>
      <c r="N1184" s="1" t="s">
        <v>1876</v>
      </c>
      <c r="P1184" s="1" t="s">
        <v>1855</v>
      </c>
      <c r="Q1184" s="3">
        <v>0</v>
      </c>
      <c r="S1184" s="23" t="s">
        <v>5949</v>
      </c>
      <c r="T1184" s="23" t="s">
        <v>4931</v>
      </c>
      <c r="U1184" s="3">
        <v>34</v>
      </c>
      <c r="W1184" s="45" t="str">
        <f>HYPERLINK("http://ictvonline.org/taxonomy/p/taxonomy-history?taxnode_id=201852461","ICTVonline=201852461")</f>
        <v>ICTVonline=201852461</v>
      </c>
      <c r="AA1184" s="1">
        <v>201850000</v>
      </c>
      <c r="AB1184" s="1">
        <v>34</v>
      </c>
    </row>
    <row r="1185" spans="1:28" x14ac:dyDescent="0.15">
      <c r="A1185" s="1">
        <v>3183</v>
      </c>
      <c r="B1185" s="1" t="s">
        <v>7159</v>
      </c>
      <c r="L1185" s="1" t="s">
        <v>18</v>
      </c>
      <c r="N1185" s="1" t="s">
        <v>1876</v>
      </c>
      <c r="P1185" s="1" t="s">
        <v>1857</v>
      </c>
      <c r="Q1185" s="3">
        <v>1</v>
      </c>
      <c r="S1185" s="23" t="s">
        <v>5949</v>
      </c>
      <c r="T1185" s="23" t="s">
        <v>4931</v>
      </c>
      <c r="U1185" s="3">
        <v>34</v>
      </c>
      <c r="W1185" s="45" t="str">
        <f>HYPERLINK("http://ictvonline.org/taxonomy/p/taxonomy-history?taxnode_id=201852462","ICTVonline=201852462")</f>
        <v>ICTVonline=201852462</v>
      </c>
      <c r="AA1185" s="1">
        <v>201850000</v>
      </c>
      <c r="AB1185" s="1">
        <v>34</v>
      </c>
    </row>
    <row r="1186" spans="1:28" x14ac:dyDescent="0.15">
      <c r="A1186" s="1">
        <v>3185</v>
      </c>
      <c r="B1186" s="1" t="s">
        <v>7159</v>
      </c>
      <c r="L1186" s="1" t="s">
        <v>18</v>
      </c>
      <c r="N1186" s="1" t="s">
        <v>1876</v>
      </c>
      <c r="P1186" s="1" t="s">
        <v>1570</v>
      </c>
      <c r="Q1186" s="3">
        <v>0</v>
      </c>
      <c r="S1186" s="23" t="s">
        <v>5949</v>
      </c>
      <c r="T1186" s="23" t="s">
        <v>4931</v>
      </c>
      <c r="U1186" s="3">
        <v>34</v>
      </c>
      <c r="W1186" s="45" t="str">
        <f>HYPERLINK("http://ictvonline.org/taxonomy/p/taxonomy-history?taxnode_id=201852463","ICTVonline=201852463")</f>
        <v>ICTVonline=201852463</v>
      </c>
      <c r="AA1186" s="1">
        <v>201850000</v>
      </c>
      <c r="AB1186" s="1">
        <v>34</v>
      </c>
    </row>
    <row r="1187" spans="1:28" x14ac:dyDescent="0.15">
      <c r="A1187" s="1">
        <v>3187</v>
      </c>
      <c r="B1187" s="1" t="s">
        <v>7159</v>
      </c>
      <c r="L1187" s="1" t="s">
        <v>18</v>
      </c>
      <c r="N1187" s="1" t="s">
        <v>1876</v>
      </c>
      <c r="P1187" s="1" t="s">
        <v>1859</v>
      </c>
      <c r="Q1187" s="3">
        <v>0</v>
      </c>
      <c r="S1187" s="23" t="s">
        <v>5949</v>
      </c>
      <c r="T1187" s="23" t="s">
        <v>4931</v>
      </c>
      <c r="U1187" s="3">
        <v>34</v>
      </c>
      <c r="W1187" s="45" t="str">
        <f>HYPERLINK("http://ictvonline.org/taxonomy/p/taxonomy-history?taxnode_id=201852464","ICTVonline=201852464")</f>
        <v>ICTVonline=201852464</v>
      </c>
      <c r="AA1187" s="1">
        <v>201850000</v>
      </c>
      <c r="AB1187" s="1">
        <v>34</v>
      </c>
    </row>
    <row r="1188" spans="1:28" x14ac:dyDescent="0.15">
      <c r="A1188" s="1">
        <v>3189</v>
      </c>
      <c r="B1188" s="1" t="s">
        <v>7159</v>
      </c>
      <c r="L1188" s="1" t="s">
        <v>18</v>
      </c>
      <c r="N1188" s="1" t="s">
        <v>1876</v>
      </c>
      <c r="P1188" s="1" t="s">
        <v>1861</v>
      </c>
      <c r="Q1188" s="3">
        <v>0</v>
      </c>
      <c r="S1188" s="23" t="s">
        <v>5949</v>
      </c>
      <c r="T1188" s="23" t="s">
        <v>4931</v>
      </c>
      <c r="U1188" s="3">
        <v>34</v>
      </c>
      <c r="W1188" s="45" t="str">
        <f>HYPERLINK("http://ictvonline.org/taxonomy/p/taxonomy-history?taxnode_id=201852465","ICTVonline=201852465")</f>
        <v>ICTVonline=201852465</v>
      </c>
      <c r="AA1188" s="1">
        <v>201850000</v>
      </c>
      <c r="AB1188" s="1">
        <v>34</v>
      </c>
    </row>
    <row r="1189" spans="1:28" x14ac:dyDescent="0.15">
      <c r="A1189" s="1">
        <v>3193</v>
      </c>
      <c r="B1189" s="1" t="s">
        <v>7159</v>
      </c>
      <c r="L1189" s="1" t="s">
        <v>18</v>
      </c>
      <c r="N1189" s="1" t="s">
        <v>842</v>
      </c>
      <c r="P1189" s="1" t="s">
        <v>843</v>
      </c>
      <c r="Q1189" s="3">
        <v>0</v>
      </c>
      <c r="S1189" s="23" t="s">
        <v>5949</v>
      </c>
      <c r="T1189" s="23" t="s">
        <v>4931</v>
      </c>
      <c r="U1189" s="3">
        <v>34</v>
      </c>
      <c r="W1189" s="45" t="str">
        <f>HYPERLINK("http://ictvonline.org/taxonomy/p/taxonomy-history?taxnode_id=201852467","ICTVonline=201852467")</f>
        <v>ICTVonline=201852467</v>
      </c>
      <c r="AA1189" s="1">
        <v>201850000</v>
      </c>
      <c r="AB1189" s="1">
        <v>34</v>
      </c>
    </row>
    <row r="1190" spans="1:28" x14ac:dyDescent="0.15">
      <c r="A1190" s="1">
        <v>3195</v>
      </c>
      <c r="B1190" s="1" t="s">
        <v>7159</v>
      </c>
      <c r="L1190" s="1" t="s">
        <v>18</v>
      </c>
      <c r="N1190" s="1" t="s">
        <v>842</v>
      </c>
      <c r="P1190" s="1" t="s">
        <v>844</v>
      </c>
      <c r="Q1190" s="3">
        <v>0</v>
      </c>
      <c r="S1190" s="23" t="s">
        <v>5949</v>
      </c>
      <c r="T1190" s="23" t="s">
        <v>4931</v>
      </c>
      <c r="U1190" s="3">
        <v>34</v>
      </c>
      <c r="W1190" s="45" t="str">
        <f>HYPERLINK("http://ictvonline.org/taxonomy/p/taxonomy-history?taxnode_id=201852468","ICTVonline=201852468")</f>
        <v>ICTVonline=201852468</v>
      </c>
      <c r="AA1190" s="1">
        <v>201850000</v>
      </c>
      <c r="AB1190" s="1">
        <v>34</v>
      </c>
    </row>
    <row r="1191" spans="1:28" x14ac:dyDescent="0.15">
      <c r="A1191" s="1">
        <v>3197</v>
      </c>
      <c r="B1191" s="1" t="s">
        <v>7159</v>
      </c>
      <c r="L1191" s="1" t="s">
        <v>18</v>
      </c>
      <c r="N1191" s="1" t="s">
        <v>842</v>
      </c>
      <c r="P1191" s="1" t="s">
        <v>845</v>
      </c>
      <c r="Q1191" s="3">
        <v>1</v>
      </c>
      <c r="S1191" s="23" t="s">
        <v>5949</v>
      </c>
      <c r="T1191" s="23" t="s">
        <v>4931</v>
      </c>
      <c r="U1191" s="3">
        <v>34</v>
      </c>
      <c r="W1191" s="45" t="str">
        <f>HYPERLINK("http://ictvonline.org/taxonomy/p/taxonomy-history?taxnode_id=201852469","ICTVonline=201852469")</f>
        <v>ICTVonline=201852469</v>
      </c>
      <c r="AA1191" s="1">
        <v>201850000</v>
      </c>
      <c r="AB1191" s="1">
        <v>34</v>
      </c>
    </row>
    <row r="1192" spans="1:28" x14ac:dyDescent="0.15">
      <c r="A1192" s="1">
        <v>3203</v>
      </c>
      <c r="B1192" s="1" t="s">
        <v>7159</v>
      </c>
      <c r="L1192" s="1" t="s">
        <v>19</v>
      </c>
      <c r="N1192" s="1" t="s">
        <v>20</v>
      </c>
      <c r="P1192" s="1" t="s">
        <v>21</v>
      </c>
      <c r="Q1192" s="3">
        <v>1</v>
      </c>
      <c r="S1192" s="23" t="s">
        <v>5949</v>
      </c>
      <c r="T1192" s="23" t="s">
        <v>4931</v>
      </c>
      <c r="U1192" s="3">
        <v>34</v>
      </c>
      <c r="W1192" s="45" t="str">
        <f>HYPERLINK("http://ictvonline.org/taxonomy/p/taxonomy-history?taxnode_id=201852473","ICTVonline=201852473")</f>
        <v>ICTVonline=201852473</v>
      </c>
      <c r="AA1192" s="1">
        <v>201850000</v>
      </c>
      <c r="AB1192" s="1">
        <v>34</v>
      </c>
    </row>
    <row r="1193" spans="1:28" x14ac:dyDescent="0.15">
      <c r="A1193" s="1">
        <v>3209</v>
      </c>
      <c r="B1193" s="1" t="s">
        <v>7159</v>
      </c>
      <c r="L1193" s="1" t="s">
        <v>2372</v>
      </c>
      <c r="N1193" s="1" t="s">
        <v>2373</v>
      </c>
      <c r="P1193" s="1" t="s">
        <v>6953</v>
      </c>
      <c r="Q1193" s="3">
        <v>0</v>
      </c>
      <c r="S1193" s="23" t="s">
        <v>5949</v>
      </c>
      <c r="T1193" s="23" t="s">
        <v>4929</v>
      </c>
      <c r="U1193" s="3">
        <v>34</v>
      </c>
      <c r="V1193" s="3" t="s">
        <v>6954</v>
      </c>
      <c r="W1193" s="45" t="str">
        <f>HYPERLINK("http://ictvonline.org/taxonomy/p/taxonomy-history?taxnode_id=201856725","ICTVonline=201856725")</f>
        <v>ICTVonline=201856725</v>
      </c>
      <c r="AA1193" s="1">
        <v>201850000</v>
      </c>
      <c r="AB1193" s="1">
        <v>34</v>
      </c>
    </row>
    <row r="1194" spans="1:28" x14ac:dyDescent="0.15">
      <c r="A1194" s="1">
        <v>3211</v>
      </c>
      <c r="B1194" s="1" t="s">
        <v>7159</v>
      </c>
      <c r="L1194" s="1" t="s">
        <v>2372</v>
      </c>
      <c r="N1194" s="1" t="s">
        <v>2373</v>
      </c>
      <c r="P1194" s="1" t="s">
        <v>6955</v>
      </c>
      <c r="Q1194" s="3">
        <v>0</v>
      </c>
      <c r="S1194" s="23" t="s">
        <v>5949</v>
      </c>
      <c r="T1194" s="23" t="s">
        <v>4929</v>
      </c>
      <c r="U1194" s="3">
        <v>34</v>
      </c>
      <c r="V1194" s="3" t="s">
        <v>6954</v>
      </c>
      <c r="W1194" s="45" t="str">
        <f>HYPERLINK("http://ictvonline.org/taxonomy/p/taxonomy-history?taxnode_id=201856726","ICTVonline=201856726")</f>
        <v>ICTVonline=201856726</v>
      </c>
      <c r="AA1194" s="1">
        <v>201850000</v>
      </c>
      <c r="AB1194" s="1">
        <v>34</v>
      </c>
    </row>
    <row r="1195" spans="1:28" x14ac:dyDescent="0.15">
      <c r="A1195" s="1">
        <v>3213</v>
      </c>
      <c r="B1195" s="1" t="s">
        <v>7159</v>
      </c>
      <c r="L1195" s="1" t="s">
        <v>2372</v>
      </c>
      <c r="N1195" s="1" t="s">
        <v>2373</v>
      </c>
      <c r="P1195" s="1" t="s">
        <v>2374</v>
      </c>
      <c r="Q1195" s="3">
        <v>0</v>
      </c>
      <c r="S1195" s="23" t="s">
        <v>5949</v>
      </c>
      <c r="T1195" s="23" t="s">
        <v>4931</v>
      </c>
      <c r="U1195" s="3">
        <v>34</v>
      </c>
      <c r="W1195" s="45" t="str">
        <f>HYPERLINK("http://ictvonline.org/taxonomy/p/taxonomy-history?taxnode_id=201852477","ICTVonline=201852477")</f>
        <v>ICTVonline=201852477</v>
      </c>
      <c r="AA1195" s="1">
        <v>201850000</v>
      </c>
      <c r="AB1195" s="1">
        <v>34</v>
      </c>
    </row>
    <row r="1196" spans="1:28" x14ac:dyDescent="0.15">
      <c r="A1196" s="1">
        <v>3215</v>
      </c>
      <c r="B1196" s="1" t="s">
        <v>7159</v>
      </c>
      <c r="L1196" s="1" t="s">
        <v>2372</v>
      </c>
      <c r="N1196" s="1" t="s">
        <v>2373</v>
      </c>
      <c r="P1196" s="1" t="s">
        <v>2375</v>
      </c>
      <c r="Q1196" s="3">
        <v>0</v>
      </c>
      <c r="S1196" s="23" t="s">
        <v>5949</v>
      </c>
      <c r="T1196" s="23" t="s">
        <v>4931</v>
      </c>
      <c r="U1196" s="3">
        <v>34</v>
      </c>
      <c r="W1196" s="45" t="str">
        <f>HYPERLINK("http://ictvonline.org/taxonomy/p/taxonomy-history?taxnode_id=201852478","ICTVonline=201852478")</f>
        <v>ICTVonline=201852478</v>
      </c>
      <c r="AA1196" s="1">
        <v>201850000</v>
      </c>
      <c r="AB1196" s="1">
        <v>34</v>
      </c>
    </row>
    <row r="1197" spans="1:28" x14ac:dyDescent="0.15">
      <c r="A1197" s="1">
        <v>3217</v>
      </c>
      <c r="B1197" s="1" t="s">
        <v>7159</v>
      </c>
      <c r="L1197" s="1" t="s">
        <v>2372</v>
      </c>
      <c r="N1197" s="1" t="s">
        <v>2373</v>
      </c>
      <c r="P1197" s="1" t="s">
        <v>2376</v>
      </c>
      <c r="Q1197" s="3">
        <v>1</v>
      </c>
      <c r="S1197" s="23" t="s">
        <v>5949</v>
      </c>
      <c r="T1197" s="23" t="s">
        <v>4931</v>
      </c>
      <c r="U1197" s="3">
        <v>34</v>
      </c>
      <c r="W1197" s="45" t="str">
        <f>HYPERLINK("http://ictvonline.org/taxonomy/p/taxonomy-history?taxnode_id=201852479","ICTVonline=201852479")</f>
        <v>ICTVonline=201852479</v>
      </c>
      <c r="AA1197" s="1">
        <v>201850000</v>
      </c>
      <c r="AB1197" s="1">
        <v>34</v>
      </c>
    </row>
    <row r="1198" spans="1:28" x14ac:dyDescent="0.15">
      <c r="A1198" s="1">
        <v>3219</v>
      </c>
      <c r="B1198" s="1" t="s">
        <v>7159</v>
      </c>
      <c r="L1198" s="1" t="s">
        <v>2372</v>
      </c>
      <c r="N1198" s="1" t="s">
        <v>2373</v>
      </c>
      <c r="P1198" s="1" t="s">
        <v>6956</v>
      </c>
      <c r="Q1198" s="3">
        <v>0</v>
      </c>
      <c r="S1198" s="23" t="s">
        <v>5949</v>
      </c>
      <c r="T1198" s="23" t="s">
        <v>4929</v>
      </c>
      <c r="U1198" s="3">
        <v>34</v>
      </c>
      <c r="V1198" s="3" t="s">
        <v>6954</v>
      </c>
      <c r="W1198" s="45" t="str">
        <f>HYPERLINK("http://ictvonline.org/taxonomy/p/taxonomy-history?taxnode_id=201856727","ICTVonline=201856727")</f>
        <v>ICTVonline=201856727</v>
      </c>
      <c r="AA1198" s="1">
        <v>201850000</v>
      </c>
      <c r="AB1198" s="1">
        <v>34</v>
      </c>
    </row>
    <row r="1199" spans="1:28" x14ac:dyDescent="0.15">
      <c r="A1199" s="1">
        <v>3221</v>
      </c>
      <c r="B1199" s="1" t="s">
        <v>7159</v>
      </c>
      <c r="L1199" s="1" t="s">
        <v>2372</v>
      </c>
      <c r="N1199" s="1" t="s">
        <v>2373</v>
      </c>
      <c r="P1199" s="1" t="s">
        <v>2377</v>
      </c>
      <c r="Q1199" s="3">
        <v>0</v>
      </c>
      <c r="S1199" s="23" t="s">
        <v>5949</v>
      </c>
      <c r="T1199" s="23" t="s">
        <v>4931</v>
      </c>
      <c r="U1199" s="3">
        <v>34</v>
      </c>
      <c r="W1199" s="45" t="str">
        <f>HYPERLINK("http://ictvonline.org/taxonomy/p/taxonomy-history?taxnode_id=201852480","ICTVonline=201852480")</f>
        <v>ICTVonline=201852480</v>
      </c>
      <c r="AA1199" s="1">
        <v>201850000</v>
      </c>
      <c r="AB1199" s="1">
        <v>34</v>
      </c>
    </row>
    <row r="1200" spans="1:28" x14ac:dyDescent="0.15">
      <c r="A1200" s="1">
        <v>3223</v>
      </c>
      <c r="B1200" s="1" t="s">
        <v>7159</v>
      </c>
      <c r="L1200" s="1" t="s">
        <v>2372</v>
      </c>
      <c r="N1200" s="1" t="s">
        <v>2373</v>
      </c>
      <c r="P1200" s="1" t="s">
        <v>6957</v>
      </c>
      <c r="Q1200" s="3">
        <v>0</v>
      </c>
      <c r="S1200" s="23" t="s">
        <v>5949</v>
      </c>
      <c r="T1200" s="23" t="s">
        <v>4929</v>
      </c>
      <c r="U1200" s="3">
        <v>34</v>
      </c>
      <c r="V1200" s="3" t="s">
        <v>6954</v>
      </c>
      <c r="W1200" s="45" t="str">
        <f>HYPERLINK("http://ictvonline.org/taxonomy/p/taxonomy-history?taxnode_id=201856728","ICTVonline=201856728")</f>
        <v>ICTVonline=201856728</v>
      </c>
      <c r="AA1200" s="1">
        <v>201850000</v>
      </c>
      <c r="AB1200" s="1">
        <v>34</v>
      </c>
    </row>
    <row r="1201" spans="1:28" x14ac:dyDescent="0.15">
      <c r="A1201" s="1">
        <v>3225</v>
      </c>
      <c r="B1201" s="1" t="s">
        <v>7159</v>
      </c>
      <c r="L1201" s="1" t="s">
        <v>2372</v>
      </c>
      <c r="N1201" s="1" t="s">
        <v>2373</v>
      </c>
      <c r="P1201" s="1" t="s">
        <v>6958</v>
      </c>
      <c r="Q1201" s="3">
        <v>0</v>
      </c>
      <c r="S1201" s="23" t="s">
        <v>5949</v>
      </c>
      <c r="T1201" s="23" t="s">
        <v>4929</v>
      </c>
      <c r="U1201" s="3">
        <v>34</v>
      </c>
      <c r="V1201" s="3" t="s">
        <v>6954</v>
      </c>
      <c r="W1201" s="45" t="str">
        <f>HYPERLINK("http://ictvonline.org/taxonomy/p/taxonomy-history?taxnode_id=201856729","ICTVonline=201856729")</f>
        <v>ICTVonline=201856729</v>
      </c>
      <c r="AA1201" s="1">
        <v>201850000</v>
      </c>
      <c r="AB1201" s="1">
        <v>34</v>
      </c>
    </row>
    <row r="1202" spans="1:28" x14ac:dyDescent="0.15">
      <c r="A1202" s="1">
        <v>3229</v>
      </c>
      <c r="B1202" s="1" t="s">
        <v>7159</v>
      </c>
      <c r="L1202" s="1" t="s">
        <v>2372</v>
      </c>
      <c r="N1202" s="1" t="s">
        <v>6959</v>
      </c>
      <c r="P1202" s="1" t="s">
        <v>6960</v>
      </c>
      <c r="Q1202" s="3">
        <v>1</v>
      </c>
      <c r="S1202" s="23" t="s">
        <v>5949</v>
      </c>
      <c r="T1202" s="23" t="s">
        <v>4929</v>
      </c>
      <c r="U1202" s="3">
        <v>34</v>
      </c>
      <c r="V1202" s="3" t="s">
        <v>6954</v>
      </c>
      <c r="W1202" s="45" t="str">
        <f>HYPERLINK("http://ictvonline.org/taxonomy/p/taxonomy-history?taxnode_id=201856731","ICTVonline=201856731")</f>
        <v>ICTVonline=201856731</v>
      </c>
      <c r="AA1202" s="1">
        <v>201850000</v>
      </c>
      <c r="AB1202" s="1">
        <v>34</v>
      </c>
    </row>
    <row r="1203" spans="1:28" x14ac:dyDescent="0.15">
      <c r="A1203" s="1">
        <v>3235</v>
      </c>
      <c r="B1203" s="1" t="s">
        <v>7159</v>
      </c>
      <c r="L1203" s="1" t="s">
        <v>670</v>
      </c>
      <c r="N1203" s="1" t="s">
        <v>671</v>
      </c>
      <c r="P1203" s="1" t="s">
        <v>44</v>
      </c>
      <c r="Q1203" s="3">
        <v>1</v>
      </c>
      <c r="S1203" s="23" t="s">
        <v>5949</v>
      </c>
      <c r="T1203" s="23" t="s">
        <v>4931</v>
      </c>
      <c r="U1203" s="3">
        <v>34</v>
      </c>
      <c r="W1203" s="45" t="str">
        <f>HYPERLINK("http://ictvonline.org/taxonomy/p/taxonomy-history?taxnode_id=201852622","ICTVonline=201852622")</f>
        <v>ICTVonline=201852622</v>
      </c>
      <c r="AA1203" s="1">
        <v>201850000</v>
      </c>
      <c r="AB1203" s="1">
        <v>34</v>
      </c>
    </row>
    <row r="1204" spans="1:28" x14ac:dyDescent="0.15">
      <c r="A1204" s="1">
        <v>3237</v>
      </c>
      <c r="B1204" s="1" t="s">
        <v>7159</v>
      </c>
      <c r="L1204" s="1" t="s">
        <v>670</v>
      </c>
      <c r="N1204" s="1" t="s">
        <v>671</v>
      </c>
      <c r="P1204" s="1" t="s">
        <v>45</v>
      </c>
      <c r="Q1204" s="3">
        <v>0</v>
      </c>
      <c r="S1204" s="23" t="s">
        <v>5949</v>
      </c>
      <c r="T1204" s="23" t="s">
        <v>4931</v>
      </c>
      <c r="U1204" s="3">
        <v>34</v>
      </c>
      <c r="W1204" s="45" t="str">
        <f>HYPERLINK("http://ictvonline.org/taxonomy/p/taxonomy-history?taxnode_id=201852623","ICTVonline=201852623")</f>
        <v>ICTVonline=201852623</v>
      </c>
      <c r="AA1204" s="1">
        <v>201850000</v>
      </c>
      <c r="AB1204" s="1">
        <v>34</v>
      </c>
    </row>
    <row r="1205" spans="1:28" x14ac:dyDescent="0.15">
      <c r="A1205" s="1">
        <v>3239</v>
      </c>
      <c r="B1205" s="1" t="s">
        <v>7159</v>
      </c>
      <c r="L1205" s="1" t="s">
        <v>670</v>
      </c>
      <c r="N1205" s="1" t="s">
        <v>671</v>
      </c>
      <c r="P1205" s="1" t="s">
        <v>46</v>
      </c>
      <c r="Q1205" s="3">
        <v>0</v>
      </c>
      <c r="S1205" s="23" t="s">
        <v>5949</v>
      </c>
      <c r="T1205" s="23" t="s">
        <v>4931</v>
      </c>
      <c r="U1205" s="3">
        <v>34</v>
      </c>
      <c r="W1205" s="45" t="str">
        <f>HYPERLINK("http://ictvonline.org/taxonomy/p/taxonomy-history?taxnode_id=201852624","ICTVonline=201852624")</f>
        <v>ICTVonline=201852624</v>
      </c>
      <c r="AA1205" s="1">
        <v>201850000</v>
      </c>
      <c r="AB1205" s="1">
        <v>34</v>
      </c>
    </row>
    <row r="1206" spans="1:28" x14ac:dyDescent="0.15">
      <c r="A1206" s="1">
        <v>3243</v>
      </c>
      <c r="B1206" s="1" t="s">
        <v>7159</v>
      </c>
      <c r="L1206" s="1" t="s">
        <v>670</v>
      </c>
      <c r="N1206" s="1" t="s">
        <v>579</v>
      </c>
      <c r="P1206" s="1" t="s">
        <v>47</v>
      </c>
      <c r="Q1206" s="3">
        <v>1</v>
      </c>
      <c r="S1206" s="23" t="s">
        <v>5949</v>
      </c>
      <c r="T1206" s="23" t="s">
        <v>4931</v>
      </c>
      <c r="U1206" s="3">
        <v>34</v>
      </c>
      <c r="W1206" s="45" t="str">
        <f>HYPERLINK("http://ictvonline.org/taxonomy/p/taxonomy-history?taxnode_id=201852626","ICTVonline=201852626")</f>
        <v>ICTVonline=201852626</v>
      </c>
      <c r="AA1206" s="1">
        <v>201850000</v>
      </c>
      <c r="AB1206" s="1">
        <v>34</v>
      </c>
    </row>
    <row r="1207" spans="1:28" x14ac:dyDescent="0.15">
      <c r="A1207" s="1">
        <v>3245</v>
      </c>
      <c r="B1207" s="1" t="s">
        <v>7159</v>
      </c>
      <c r="L1207" s="1" t="s">
        <v>670</v>
      </c>
      <c r="N1207" s="1" t="s">
        <v>579</v>
      </c>
      <c r="P1207" s="1" t="s">
        <v>58</v>
      </c>
      <c r="Q1207" s="3">
        <v>0</v>
      </c>
      <c r="S1207" s="23" t="s">
        <v>5949</v>
      </c>
      <c r="T1207" s="23" t="s">
        <v>4931</v>
      </c>
      <c r="U1207" s="3">
        <v>34</v>
      </c>
      <c r="W1207" s="45" t="str">
        <f>HYPERLINK("http://ictvonline.org/taxonomy/p/taxonomy-history?taxnode_id=201852627","ICTVonline=201852627")</f>
        <v>ICTVonline=201852627</v>
      </c>
      <c r="AA1207" s="1">
        <v>201850000</v>
      </c>
      <c r="AB1207" s="1">
        <v>34</v>
      </c>
    </row>
    <row r="1208" spans="1:28" x14ac:dyDescent="0.15">
      <c r="A1208" s="1">
        <v>3247</v>
      </c>
      <c r="B1208" s="1" t="s">
        <v>7159</v>
      </c>
      <c r="L1208" s="1" t="s">
        <v>670</v>
      </c>
      <c r="N1208" s="1" t="s">
        <v>579</v>
      </c>
      <c r="P1208" s="1" t="s">
        <v>59</v>
      </c>
      <c r="Q1208" s="3">
        <v>0</v>
      </c>
      <c r="S1208" s="23" t="s">
        <v>5949</v>
      </c>
      <c r="T1208" s="23" t="s">
        <v>4931</v>
      </c>
      <c r="U1208" s="3">
        <v>34</v>
      </c>
      <c r="W1208" s="45" t="str">
        <f>HYPERLINK("http://ictvonline.org/taxonomy/p/taxonomy-history?taxnode_id=201852628","ICTVonline=201852628")</f>
        <v>ICTVonline=201852628</v>
      </c>
      <c r="AA1208" s="1">
        <v>201850000</v>
      </c>
      <c r="AB1208" s="1">
        <v>34</v>
      </c>
    </row>
    <row r="1209" spans="1:28" x14ac:dyDescent="0.15">
      <c r="A1209" s="1">
        <v>3249</v>
      </c>
      <c r="B1209" s="1" t="s">
        <v>7159</v>
      </c>
      <c r="L1209" s="1" t="s">
        <v>670</v>
      </c>
      <c r="N1209" s="1" t="s">
        <v>579</v>
      </c>
      <c r="P1209" s="1" t="s">
        <v>60</v>
      </c>
      <c r="Q1209" s="3">
        <v>0</v>
      </c>
      <c r="S1209" s="23" t="s">
        <v>5949</v>
      </c>
      <c r="T1209" s="23" t="s">
        <v>4931</v>
      </c>
      <c r="U1209" s="3">
        <v>34</v>
      </c>
      <c r="W1209" s="45" t="str">
        <f>HYPERLINK("http://ictvonline.org/taxonomy/p/taxonomy-history?taxnode_id=201852629","ICTVonline=201852629")</f>
        <v>ICTVonline=201852629</v>
      </c>
      <c r="AA1209" s="1">
        <v>201850000</v>
      </c>
      <c r="AB1209" s="1">
        <v>34</v>
      </c>
    </row>
    <row r="1210" spans="1:28" x14ac:dyDescent="0.15">
      <c r="A1210" s="1">
        <v>3251</v>
      </c>
      <c r="B1210" s="1" t="s">
        <v>7159</v>
      </c>
      <c r="L1210" s="1" t="s">
        <v>670</v>
      </c>
      <c r="N1210" s="1" t="s">
        <v>579</v>
      </c>
      <c r="P1210" s="1" t="s">
        <v>61</v>
      </c>
      <c r="Q1210" s="3">
        <v>0</v>
      </c>
      <c r="S1210" s="23" t="s">
        <v>5949</v>
      </c>
      <c r="T1210" s="23" t="s">
        <v>4931</v>
      </c>
      <c r="U1210" s="3">
        <v>34</v>
      </c>
      <c r="W1210" s="45" t="str">
        <f>HYPERLINK("http://ictvonline.org/taxonomy/p/taxonomy-history?taxnode_id=201852630","ICTVonline=201852630")</f>
        <v>ICTVonline=201852630</v>
      </c>
      <c r="AA1210" s="1">
        <v>201850000</v>
      </c>
      <c r="AB1210" s="1">
        <v>34</v>
      </c>
    </row>
    <row r="1211" spans="1:28" x14ac:dyDescent="0.15">
      <c r="A1211" s="1">
        <v>3253</v>
      </c>
      <c r="B1211" s="1" t="s">
        <v>7159</v>
      </c>
      <c r="L1211" s="1" t="s">
        <v>670</v>
      </c>
      <c r="N1211" s="1" t="s">
        <v>579</v>
      </c>
      <c r="P1211" s="1" t="s">
        <v>62</v>
      </c>
      <c r="Q1211" s="3">
        <v>0</v>
      </c>
      <c r="S1211" s="23" t="s">
        <v>5949</v>
      </c>
      <c r="T1211" s="23" t="s">
        <v>4931</v>
      </c>
      <c r="U1211" s="3">
        <v>34</v>
      </c>
      <c r="W1211" s="45" t="str">
        <f>HYPERLINK("http://ictvonline.org/taxonomy/p/taxonomy-history?taxnode_id=201852631","ICTVonline=201852631")</f>
        <v>ICTVonline=201852631</v>
      </c>
      <c r="AA1211" s="1">
        <v>201850000</v>
      </c>
      <c r="AB1211" s="1">
        <v>34</v>
      </c>
    </row>
    <row r="1212" spans="1:28" x14ac:dyDescent="0.15">
      <c r="A1212" s="1">
        <v>3255</v>
      </c>
      <c r="B1212" s="1" t="s">
        <v>7159</v>
      </c>
      <c r="L1212" s="1" t="s">
        <v>670</v>
      </c>
      <c r="N1212" s="1" t="s">
        <v>579</v>
      </c>
      <c r="P1212" s="1" t="s">
        <v>63</v>
      </c>
      <c r="Q1212" s="3">
        <v>0</v>
      </c>
      <c r="S1212" s="23" t="s">
        <v>5949</v>
      </c>
      <c r="T1212" s="23" t="s">
        <v>4931</v>
      </c>
      <c r="U1212" s="3">
        <v>34</v>
      </c>
      <c r="W1212" s="45" t="str">
        <f>HYPERLINK("http://ictvonline.org/taxonomy/p/taxonomy-history?taxnode_id=201852632","ICTVonline=201852632")</f>
        <v>ICTVonline=201852632</v>
      </c>
      <c r="AA1212" s="1">
        <v>201850000</v>
      </c>
      <c r="AB1212" s="1">
        <v>34</v>
      </c>
    </row>
    <row r="1213" spans="1:28" x14ac:dyDescent="0.15">
      <c r="A1213" s="1">
        <v>3257</v>
      </c>
      <c r="B1213" s="1" t="s">
        <v>7159</v>
      </c>
      <c r="L1213" s="1" t="s">
        <v>670</v>
      </c>
      <c r="N1213" s="1" t="s">
        <v>579</v>
      </c>
      <c r="P1213" s="1" t="s">
        <v>64</v>
      </c>
      <c r="Q1213" s="3">
        <v>0</v>
      </c>
      <c r="S1213" s="23" t="s">
        <v>5949</v>
      </c>
      <c r="T1213" s="23" t="s">
        <v>4931</v>
      </c>
      <c r="U1213" s="3">
        <v>34</v>
      </c>
      <c r="W1213" s="45" t="str">
        <f>HYPERLINK("http://ictvonline.org/taxonomy/p/taxonomy-history?taxnode_id=201852633","ICTVonline=201852633")</f>
        <v>ICTVonline=201852633</v>
      </c>
      <c r="AA1213" s="1">
        <v>201850000</v>
      </c>
      <c r="AB1213" s="1">
        <v>34</v>
      </c>
    </row>
    <row r="1214" spans="1:28" x14ac:dyDescent="0.15">
      <c r="A1214" s="1">
        <v>3259</v>
      </c>
      <c r="B1214" s="1" t="s">
        <v>7159</v>
      </c>
      <c r="L1214" s="1" t="s">
        <v>670</v>
      </c>
      <c r="N1214" s="1" t="s">
        <v>579</v>
      </c>
      <c r="P1214" s="1" t="s">
        <v>65</v>
      </c>
      <c r="Q1214" s="3">
        <v>0</v>
      </c>
      <c r="S1214" s="23" t="s">
        <v>5949</v>
      </c>
      <c r="T1214" s="23" t="s">
        <v>4931</v>
      </c>
      <c r="U1214" s="3">
        <v>34</v>
      </c>
      <c r="W1214" s="45" t="str">
        <f>HYPERLINK("http://ictvonline.org/taxonomy/p/taxonomy-history?taxnode_id=201852634","ICTVonline=201852634")</f>
        <v>ICTVonline=201852634</v>
      </c>
      <c r="AA1214" s="1">
        <v>201850000</v>
      </c>
      <c r="AB1214" s="1">
        <v>34</v>
      </c>
    </row>
    <row r="1215" spans="1:28" x14ac:dyDescent="0.15">
      <c r="A1215" s="1">
        <v>3261</v>
      </c>
      <c r="B1215" s="1" t="s">
        <v>7159</v>
      </c>
      <c r="L1215" s="1" t="s">
        <v>670</v>
      </c>
      <c r="N1215" s="1" t="s">
        <v>579</v>
      </c>
      <c r="P1215" s="1" t="s">
        <v>48</v>
      </c>
      <c r="Q1215" s="3">
        <v>0</v>
      </c>
      <c r="S1215" s="23" t="s">
        <v>5949</v>
      </c>
      <c r="T1215" s="23" t="s">
        <v>4931</v>
      </c>
      <c r="U1215" s="3">
        <v>34</v>
      </c>
      <c r="W1215" s="45" t="str">
        <f>HYPERLINK("http://ictvonline.org/taxonomy/p/taxonomy-history?taxnode_id=201852635","ICTVonline=201852635")</f>
        <v>ICTVonline=201852635</v>
      </c>
      <c r="AA1215" s="1">
        <v>201850000</v>
      </c>
      <c r="AB1215" s="1">
        <v>34</v>
      </c>
    </row>
    <row r="1216" spans="1:28" x14ac:dyDescent="0.15">
      <c r="A1216" s="1">
        <v>3263</v>
      </c>
      <c r="B1216" s="1" t="s">
        <v>7159</v>
      </c>
      <c r="L1216" s="1" t="s">
        <v>670</v>
      </c>
      <c r="N1216" s="1" t="s">
        <v>579</v>
      </c>
      <c r="P1216" s="1" t="s">
        <v>49</v>
      </c>
      <c r="Q1216" s="3">
        <v>0</v>
      </c>
      <c r="S1216" s="23" t="s">
        <v>5949</v>
      </c>
      <c r="T1216" s="23" t="s">
        <v>4931</v>
      </c>
      <c r="U1216" s="3">
        <v>34</v>
      </c>
      <c r="W1216" s="45" t="str">
        <f>HYPERLINK("http://ictvonline.org/taxonomy/p/taxonomy-history?taxnode_id=201852636","ICTVonline=201852636")</f>
        <v>ICTVonline=201852636</v>
      </c>
      <c r="AA1216" s="1">
        <v>201850000</v>
      </c>
      <c r="AB1216" s="1">
        <v>34</v>
      </c>
    </row>
    <row r="1217" spans="1:28" x14ac:dyDescent="0.15">
      <c r="A1217" s="1">
        <v>3265</v>
      </c>
      <c r="B1217" s="1" t="s">
        <v>7159</v>
      </c>
      <c r="L1217" s="1" t="s">
        <v>670</v>
      </c>
      <c r="N1217" s="1" t="s">
        <v>579</v>
      </c>
      <c r="P1217" s="1" t="s">
        <v>50</v>
      </c>
      <c r="Q1217" s="3">
        <v>0</v>
      </c>
      <c r="S1217" s="23" t="s">
        <v>5949</v>
      </c>
      <c r="T1217" s="23" t="s">
        <v>4931</v>
      </c>
      <c r="U1217" s="3">
        <v>34</v>
      </c>
      <c r="W1217" s="45" t="str">
        <f>HYPERLINK("http://ictvonline.org/taxonomy/p/taxonomy-history?taxnode_id=201852637","ICTVonline=201852637")</f>
        <v>ICTVonline=201852637</v>
      </c>
      <c r="AA1217" s="1">
        <v>201850000</v>
      </c>
      <c r="AB1217" s="1">
        <v>34</v>
      </c>
    </row>
    <row r="1218" spans="1:28" x14ac:dyDescent="0.15">
      <c r="A1218" s="1">
        <v>3267</v>
      </c>
      <c r="B1218" s="1" t="s">
        <v>7159</v>
      </c>
      <c r="L1218" s="1" t="s">
        <v>670</v>
      </c>
      <c r="N1218" s="1" t="s">
        <v>579</v>
      </c>
      <c r="P1218" s="1" t="s">
        <v>51</v>
      </c>
      <c r="Q1218" s="3">
        <v>0</v>
      </c>
      <c r="S1218" s="23" t="s">
        <v>5949</v>
      </c>
      <c r="T1218" s="23" t="s">
        <v>4931</v>
      </c>
      <c r="U1218" s="3">
        <v>34</v>
      </c>
      <c r="W1218" s="45" t="str">
        <f>HYPERLINK("http://ictvonline.org/taxonomy/p/taxonomy-history?taxnode_id=201852638","ICTVonline=201852638")</f>
        <v>ICTVonline=201852638</v>
      </c>
      <c r="AA1218" s="1">
        <v>201850000</v>
      </c>
      <c r="AB1218" s="1">
        <v>34</v>
      </c>
    </row>
    <row r="1219" spans="1:28" x14ac:dyDescent="0.15">
      <c r="A1219" s="1">
        <v>3269</v>
      </c>
      <c r="B1219" s="1" t="s">
        <v>7159</v>
      </c>
      <c r="L1219" s="1" t="s">
        <v>670</v>
      </c>
      <c r="N1219" s="1" t="s">
        <v>579</v>
      </c>
      <c r="P1219" s="1" t="s">
        <v>52</v>
      </c>
      <c r="Q1219" s="3">
        <v>0</v>
      </c>
      <c r="S1219" s="23" t="s">
        <v>5949</v>
      </c>
      <c r="T1219" s="23" t="s">
        <v>4931</v>
      </c>
      <c r="U1219" s="3">
        <v>34</v>
      </c>
      <c r="W1219" s="45" t="str">
        <f>HYPERLINK("http://ictvonline.org/taxonomy/p/taxonomy-history?taxnode_id=201852639","ICTVonline=201852639")</f>
        <v>ICTVonline=201852639</v>
      </c>
      <c r="AA1219" s="1">
        <v>201850000</v>
      </c>
      <c r="AB1219" s="1">
        <v>34</v>
      </c>
    </row>
    <row r="1220" spans="1:28" x14ac:dyDescent="0.15">
      <c r="A1220" s="1">
        <v>3271</v>
      </c>
      <c r="B1220" s="1" t="s">
        <v>7159</v>
      </c>
      <c r="L1220" s="1" t="s">
        <v>670</v>
      </c>
      <c r="N1220" s="1" t="s">
        <v>579</v>
      </c>
      <c r="P1220" s="1" t="s">
        <v>53</v>
      </c>
      <c r="Q1220" s="3">
        <v>0</v>
      </c>
      <c r="S1220" s="23" t="s">
        <v>5949</v>
      </c>
      <c r="T1220" s="23" t="s">
        <v>4931</v>
      </c>
      <c r="U1220" s="3">
        <v>34</v>
      </c>
      <c r="W1220" s="45" t="str">
        <f>HYPERLINK("http://ictvonline.org/taxonomy/p/taxonomy-history?taxnode_id=201852640","ICTVonline=201852640")</f>
        <v>ICTVonline=201852640</v>
      </c>
      <c r="AA1220" s="1">
        <v>201850000</v>
      </c>
      <c r="AB1220" s="1">
        <v>34</v>
      </c>
    </row>
    <row r="1221" spans="1:28" x14ac:dyDescent="0.15">
      <c r="A1221" s="1">
        <v>3273</v>
      </c>
      <c r="B1221" s="1" t="s">
        <v>7159</v>
      </c>
      <c r="L1221" s="1" t="s">
        <v>670</v>
      </c>
      <c r="N1221" s="1" t="s">
        <v>579</v>
      </c>
      <c r="P1221" s="1" t="s">
        <v>54</v>
      </c>
      <c r="Q1221" s="3">
        <v>0</v>
      </c>
      <c r="S1221" s="23" t="s">
        <v>5949</v>
      </c>
      <c r="T1221" s="23" t="s">
        <v>4931</v>
      </c>
      <c r="U1221" s="3">
        <v>34</v>
      </c>
      <c r="W1221" s="45" t="str">
        <f>HYPERLINK("http://ictvonline.org/taxonomy/p/taxonomy-history?taxnode_id=201852641","ICTVonline=201852641")</f>
        <v>ICTVonline=201852641</v>
      </c>
      <c r="AA1221" s="1">
        <v>201850000</v>
      </c>
      <c r="AB1221" s="1">
        <v>34</v>
      </c>
    </row>
    <row r="1222" spans="1:28" x14ac:dyDescent="0.15">
      <c r="A1222" s="1">
        <v>3275</v>
      </c>
      <c r="B1222" s="1" t="s">
        <v>7159</v>
      </c>
      <c r="L1222" s="1" t="s">
        <v>670</v>
      </c>
      <c r="N1222" s="1" t="s">
        <v>579</v>
      </c>
      <c r="P1222" s="1" t="s">
        <v>55</v>
      </c>
      <c r="Q1222" s="3">
        <v>0</v>
      </c>
      <c r="S1222" s="23" t="s">
        <v>5949</v>
      </c>
      <c r="T1222" s="23" t="s">
        <v>4931</v>
      </c>
      <c r="U1222" s="3">
        <v>34</v>
      </c>
      <c r="W1222" s="45" t="str">
        <f>HYPERLINK("http://ictvonline.org/taxonomy/p/taxonomy-history?taxnode_id=201852642","ICTVonline=201852642")</f>
        <v>ICTVonline=201852642</v>
      </c>
      <c r="AA1222" s="1">
        <v>201850000</v>
      </c>
      <c r="AB1222" s="1">
        <v>34</v>
      </c>
    </row>
    <row r="1223" spans="1:28" x14ac:dyDescent="0.15">
      <c r="A1223" s="1">
        <v>3277</v>
      </c>
      <c r="B1223" s="1" t="s">
        <v>7159</v>
      </c>
      <c r="L1223" s="1" t="s">
        <v>670</v>
      </c>
      <c r="N1223" s="1" t="s">
        <v>579</v>
      </c>
      <c r="P1223" s="1" t="s">
        <v>56</v>
      </c>
      <c r="Q1223" s="3">
        <v>0</v>
      </c>
      <c r="S1223" s="23" t="s">
        <v>5949</v>
      </c>
      <c r="T1223" s="23" t="s">
        <v>4931</v>
      </c>
      <c r="U1223" s="3">
        <v>34</v>
      </c>
      <c r="W1223" s="45" t="str">
        <f>HYPERLINK("http://ictvonline.org/taxonomy/p/taxonomy-history?taxnode_id=201852643","ICTVonline=201852643")</f>
        <v>ICTVonline=201852643</v>
      </c>
      <c r="AA1223" s="1">
        <v>201850000</v>
      </c>
      <c r="AB1223" s="1">
        <v>34</v>
      </c>
    </row>
    <row r="1224" spans="1:28" x14ac:dyDescent="0.15">
      <c r="A1224" s="1">
        <v>3279</v>
      </c>
      <c r="B1224" s="1" t="s">
        <v>7159</v>
      </c>
      <c r="L1224" s="1" t="s">
        <v>670</v>
      </c>
      <c r="N1224" s="1" t="s">
        <v>579</v>
      </c>
      <c r="P1224" s="1" t="s">
        <v>57</v>
      </c>
      <c r="Q1224" s="3">
        <v>0</v>
      </c>
      <c r="S1224" s="23" t="s">
        <v>5949</v>
      </c>
      <c r="T1224" s="23" t="s">
        <v>4931</v>
      </c>
      <c r="U1224" s="3">
        <v>34</v>
      </c>
      <c r="W1224" s="45" t="str">
        <f>HYPERLINK("http://ictvonline.org/taxonomy/p/taxonomy-history?taxnode_id=201852644","ICTVonline=201852644")</f>
        <v>ICTVonline=201852644</v>
      </c>
      <c r="AA1224" s="1">
        <v>201850000</v>
      </c>
      <c r="AB1224" s="1">
        <v>34</v>
      </c>
    </row>
    <row r="1225" spans="1:28" x14ac:dyDescent="0.15">
      <c r="A1225" s="1">
        <v>3285</v>
      </c>
      <c r="B1225" s="1" t="s">
        <v>7159</v>
      </c>
      <c r="L1225" s="1" t="s">
        <v>554</v>
      </c>
      <c r="N1225" s="1" t="s">
        <v>555</v>
      </c>
      <c r="P1225" s="1" t="s">
        <v>556</v>
      </c>
      <c r="Q1225" s="3">
        <v>1</v>
      </c>
      <c r="S1225" s="23" t="s">
        <v>5949</v>
      </c>
      <c r="T1225" s="23" t="s">
        <v>4931</v>
      </c>
      <c r="U1225" s="3">
        <v>34</v>
      </c>
      <c r="W1225" s="45" t="str">
        <f>HYPERLINK("http://ictvonline.org/taxonomy/p/taxonomy-history?taxnode_id=201852648","ICTVonline=201852648")</f>
        <v>ICTVonline=201852648</v>
      </c>
      <c r="AA1225" s="1">
        <v>201850000</v>
      </c>
      <c r="AB1225" s="1">
        <v>34</v>
      </c>
    </row>
    <row r="1226" spans="1:28" x14ac:dyDescent="0.15">
      <c r="A1226" s="1">
        <v>3289</v>
      </c>
      <c r="B1226" s="1" t="s">
        <v>7159</v>
      </c>
      <c r="L1226" s="1" t="s">
        <v>554</v>
      </c>
      <c r="N1226" s="1" t="s">
        <v>557</v>
      </c>
      <c r="P1226" s="1" t="s">
        <v>558</v>
      </c>
      <c r="Q1226" s="3">
        <v>1</v>
      </c>
      <c r="S1226" s="23" t="s">
        <v>5949</v>
      </c>
      <c r="T1226" s="23" t="s">
        <v>4931</v>
      </c>
      <c r="U1226" s="3">
        <v>34</v>
      </c>
      <c r="W1226" s="45" t="str">
        <f>HYPERLINK("http://ictvonline.org/taxonomy/p/taxonomy-history?taxnode_id=201852650","ICTVonline=201852650")</f>
        <v>ICTVonline=201852650</v>
      </c>
      <c r="AA1226" s="1">
        <v>201850000</v>
      </c>
      <c r="AB1226" s="1">
        <v>34</v>
      </c>
    </row>
    <row r="1227" spans="1:28" x14ac:dyDescent="0.15">
      <c r="A1227" s="1">
        <v>3293</v>
      </c>
      <c r="B1227" s="1" t="s">
        <v>7159</v>
      </c>
      <c r="L1227" s="1" t="s">
        <v>554</v>
      </c>
      <c r="N1227" s="1" t="s">
        <v>559</v>
      </c>
      <c r="P1227" s="1" t="s">
        <v>560</v>
      </c>
      <c r="Q1227" s="3">
        <v>0</v>
      </c>
      <c r="S1227" s="23" t="s">
        <v>5949</v>
      </c>
      <c r="T1227" s="23" t="s">
        <v>4931</v>
      </c>
      <c r="U1227" s="3">
        <v>34</v>
      </c>
      <c r="W1227" s="45" t="str">
        <f>HYPERLINK("http://ictvonline.org/taxonomy/p/taxonomy-history?taxnode_id=201852652","ICTVonline=201852652")</f>
        <v>ICTVonline=201852652</v>
      </c>
      <c r="AA1227" s="1">
        <v>201850000</v>
      </c>
      <c r="AB1227" s="1">
        <v>34</v>
      </c>
    </row>
    <row r="1228" spans="1:28" x14ac:dyDescent="0.15">
      <c r="A1228" s="1">
        <v>3295</v>
      </c>
      <c r="B1228" s="1" t="s">
        <v>7159</v>
      </c>
      <c r="L1228" s="1" t="s">
        <v>554</v>
      </c>
      <c r="N1228" s="1" t="s">
        <v>559</v>
      </c>
      <c r="P1228" s="1" t="s">
        <v>1724</v>
      </c>
      <c r="Q1228" s="3">
        <v>1</v>
      </c>
      <c r="S1228" s="23" t="s">
        <v>5949</v>
      </c>
      <c r="T1228" s="23" t="s">
        <v>4931</v>
      </c>
      <c r="U1228" s="3">
        <v>34</v>
      </c>
      <c r="W1228" s="45" t="str">
        <f>HYPERLINK("http://ictvonline.org/taxonomy/p/taxonomy-history?taxnode_id=201852653","ICTVonline=201852653")</f>
        <v>ICTVonline=201852653</v>
      </c>
      <c r="AA1228" s="1">
        <v>201850000</v>
      </c>
      <c r="AB1228" s="1">
        <v>34</v>
      </c>
    </row>
    <row r="1229" spans="1:28" x14ac:dyDescent="0.15">
      <c r="A1229" s="1">
        <v>3301</v>
      </c>
      <c r="B1229" s="1" t="s">
        <v>7159</v>
      </c>
      <c r="L1229" s="1" t="s">
        <v>1766</v>
      </c>
      <c r="N1229" s="1" t="s">
        <v>1767</v>
      </c>
      <c r="P1229" s="1" t="s">
        <v>1768</v>
      </c>
      <c r="Q1229" s="3">
        <v>1</v>
      </c>
      <c r="S1229" s="23" t="s">
        <v>5949</v>
      </c>
      <c r="T1229" s="23" t="s">
        <v>4931</v>
      </c>
      <c r="U1229" s="3">
        <v>34</v>
      </c>
      <c r="W1229" s="45" t="str">
        <f>HYPERLINK("http://ictvonline.org/taxonomy/p/taxonomy-history?taxnode_id=201852729","ICTVonline=201852729")</f>
        <v>ICTVonline=201852729</v>
      </c>
      <c r="AA1229" s="1">
        <v>201850000</v>
      </c>
      <c r="AB1229" s="1">
        <v>34</v>
      </c>
    </row>
    <row r="1230" spans="1:28" x14ac:dyDescent="0.15">
      <c r="A1230" s="1">
        <v>3307</v>
      </c>
      <c r="B1230" s="1" t="s">
        <v>7159</v>
      </c>
      <c r="L1230" s="1" t="s">
        <v>2378</v>
      </c>
      <c r="N1230" s="1" t="s">
        <v>1255</v>
      </c>
      <c r="P1230" s="1" t="s">
        <v>1256</v>
      </c>
      <c r="Q1230" s="3">
        <v>1</v>
      </c>
      <c r="S1230" s="23" t="s">
        <v>5949</v>
      </c>
      <c r="T1230" s="23" t="s">
        <v>4931</v>
      </c>
      <c r="U1230" s="3">
        <v>34</v>
      </c>
      <c r="W1230" s="45" t="str">
        <f>HYPERLINK("http://ictvonline.org/taxonomy/p/taxonomy-history?taxnode_id=201852733","ICTVonline=201852733")</f>
        <v>ICTVonline=201852733</v>
      </c>
      <c r="AA1230" s="1">
        <v>201850000</v>
      </c>
      <c r="AB1230" s="1">
        <v>34</v>
      </c>
    </row>
    <row r="1231" spans="1:28" x14ac:dyDescent="0.15">
      <c r="A1231" s="1">
        <v>3309</v>
      </c>
      <c r="B1231" s="1" t="s">
        <v>7159</v>
      </c>
      <c r="L1231" s="1" t="s">
        <v>2378</v>
      </c>
      <c r="N1231" s="1" t="s">
        <v>1255</v>
      </c>
      <c r="P1231" s="1" t="s">
        <v>1257</v>
      </c>
      <c r="Q1231" s="3">
        <v>0</v>
      </c>
      <c r="S1231" s="23" t="s">
        <v>5949</v>
      </c>
      <c r="T1231" s="23" t="s">
        <v>4931</v>
      </c>
      <c r="U1231" s="3">
        <v>34</v>
      </c>
      <c r="W1231" s="45" t="str">
        <f>HYPERLINK("http://ictvonline.org/taxonomy/p/taxonomy-history?taxnode_id=201852734","ICTVonline=201852734")</f>
        <v>ICTVonline=201852734</v>
      </c>
      <c r="AA1231" s="1">
        <v>201850000</v>
      </c>
      <c r="AB1231" s="1">
        <v>34</v>
      </c>
    </row>
    <row r="1232" spans="1:28" x14ac:dyDescent="0.15">
      <c r="A1232" s="1">
        <v>3311</v>
      </c>
      <c r="B1232" s="1" t="s">
        <v>7159</v>
      </c>
      <c r="L1232" s="1" t="s">
        <v>2378</v>
      </c>
      <c r="N1232" s="1" t="s">
        <v>1255</v>
      </c>
      <c r="P1232" s="1" t="s">
        <v>2379</v>
      </c>
      <c r="Q1232" s="3">
        <v>0</v>
      </c>
      <c r="S1232" s="23" t="s">
        <v>5949</v>
      </c>
      <c r="T1232" s="23" t="s">
        <v>4931</v>
      </c>
      <c r="U1232" s="3">
        <v>34</v>
      </c>
      <c r="W1232" s="45" t="str">
        <f>HYPERLINK("http://ictvonline.org/taxonomy/p/taxonomy-history?taxnode_id=201852735","ICTVonline=201852735")</f>
        <v>ICTVonline=201852735</v>
      </c>
      <c r="AA1232" s="1">
        <v>201850000</v>
      </c>
      <c r="AB1232" s="1">
        <v>34</v>
      </c>
    </row>
    <row r="1233" spans="1:28" x14ac:dyDescent="0.15">
      <c r="A1233" s="1">
        <v>3313</v>
      </c>
      <c r="B1233" s="1" t="s">
        <v>7159</v>
      </c>
      <c r="L1233" s="1" t="s">
        <v>2378</v>
      </c>
      <c r="N1233" s="1" t="s">
        <v>1255</v>
      </c>
      <c r="P1233" s="1" t="s">
        <v>2281</v>
      </c>
      <c r="Q1233" s="3">
        <v>0</v>
      </c>
      <c r="S1233" s="23" t="s">
        <v>5949</v>
      </c>
      <c r="T1233" s="23" t="s">
        <v>4931</v>
      </c>
      <c r="U1233" s="3">
        <v>34</v>
      </c>
      <c r="W1233" s="45" t="str">
        <f>HYPERLINK("http://ictvonline.org/taxonomy/p/taxonomy-history?taxnode_id=201852736","ICTVonline=201852736")</f>
        <v>ICTVonline=201852736</v>
      </c>
      <c r="AA1233" s="1">
        <v>201850000</v>
      </c>
      <c r="AB1233" s="1">
        <v>34</v>
      </c>
    </row>
    <row r="1234" spans="1:28" x14ac:dyDescent="0.15">
      <c r="A1234" s="1">
        <v>3319</v>
      </c>
      <c r="B1234" s="1" t="s">
        <v>7159</v>
      </c>
      <c r="L1234" s="1" t="s">
        <v>1769</v>
      </c>
      <c r="N1234" s="1" t="s">
        <v>1770</v>
      </c>
      <c r="P1234" s="1" t="s">
        <v>1771</v>
      </c>
      <c r="Q1234" s="3">
        <v>1</v>
      </c>
      <c r="S1234" s="23" t="s">
        <v>5949</v>
      </c>
      <c r="T1234" s="23" t="s">
        <v>4931</v>
      </c>
      <c r="U1234" s="3">
        <v>34</v>
      </c>
      <c r="W1234" s="45" t="str">
        <f>HYPERLINK("http://ictvonline.org/taxonomy/p/taxonomy-history?taxnode_id=201852748","ICTVonline=201852748")</f>
        <v>ICTVonline=201852748</v>
      </c>
      <c r="AA1234" s="1">
        <v>201850000</v>
      </c>
      <c r="AB1234" s="1">
        <v>34</v>
      </c>
    </row>
    <row r="1235" spans="1:28" x14ac:dyDescent="0.15">
      <c r="A1235" s="1">
        <v>3321</v>
      </c>
      <c r="B1235" s="1" t="s">
        <v>7159</v>
      </c>
      <c r="L1235" s="1" t="s">
        <v>1769</v>
      </c>
      <c r="N1235" s="1" t="s">
        <v>1770</v>
      </c>
      <c r="P1235" s="1" t="s">
        <v>1772</v>
      </c>
      <c r="Q1235" s="3">
        <v>0</v>
      </c>
      <c r="S1235" s="23" t="s">
        <v>5949</v>
      </c>
      <c r="T1235" s="23" t="s">
        <v>4931</v>
      </c>
      <c r="U1235" s="3">
        <v>34</v>
      </c>
      <c r="W1235" s="45" t="str">
        <f>HYPERLINK("http://ictvonline.org/taxonomy/p/taxonomy-history?taxnode_id=201852749","ICTVonline=201852749")</f>
        <v>ICTVonline=201852749</v>
      </c>
      <c r="AA1235" s="1">
        <v>201850000</v>
      </c>
      <c r="AB1235" s="1">
        <v>34</v>
      </c>
    </row>
    <row r="1236" spans="1:28" x14ac:dyDescent="0.15">
      <c r="A1236" s="1">
        <v>3323</v>
      </c>
      <c r="B1236" s="1" t="s">
        <v>7159</v>
      </c>
      <c r="L1236" s="1" t="s">
        <v>1769</v>
      </c>
      <c r="N1236" s="1" t="s">
        <v>1770</v>
      </c>
      <c r="P1236" s="1" t="s">
        <v>1773</v>
      </c>
      <c r="Q1236" s="3">
        <v>0</v>
      </c>
      <c r="S1236" s="23" t="s">
        <v>5949</v>
      </c>
      <c r="T1236" s="23" t="s">
        <v>4931</v>
      </c>
      <c r="U1236" s="3">
        <v>34</v>
      </c>
      <c r="W1236" s="45" t="str">
        <f>HYPERLINK("http://ictvonline.org/taxonomy/p/taxonomy-history?taxnode_id=201852750","ICTVonline=201852750")</f>
        <v>ICTVonline=201852750</v>
      </c>
      <c r="AA1236" s="1">
        <v>201850000</v>
      </c>
      <c r="AB1236" s="1">
        <v>34</v>
      </c>
    </row>
    <row r="1237" spans="1:28" x14ac:dyDescent="0.15">
      <c r="A1237" s="1">
        <v>3327</v>
      </c>
      <c r="B1237" s="1" t="s">
        <v>7159</v>
      </c>
      <c r="L1237" s="1" t="s">
        <v>1769</v>
      </c>
      <c r="N1237" s="1" t="s">
        <v>1774</v>
      </c>
      <c r="P1237" s="1" t="s">
        <v>1783</v>
      </c>
      <c r="Q1237" s="3">
        <v>1</v>
      </c>
      <c r="S1237" s="23" t="s">
        <v>5949</v>
      </c>
      <c r="T1237" s="23" t="s">
        <v>4931</v>
      </c>
      <c r="U1237" s="3">
        <v>34</v>
      </c>
      <c r="W1237" s="45" t="str">
        <f>HYPERLINK("http://ictvonline.org/taxonomy/p/taxonomy-history?taxnode_id=201852752","ICTVonline=201852752")</f>
        <v>ICTVonline=201852752</v>
      </c>
      <c r="AA1237" s="1">
        <v>201850000</v>
      </c>
      <c r="AB1237" s="1">
        <v>34</v>
      </c>
    </row>
    <row r="1238" spans="1:28" x14ac:dyDescent="0.15">
      <c r="A1238" s="1">
        <v>3331</v>
      </c>
      <c r="B1238" s="1" t="s">
        <v>7159</v>
      </c>
      <c r="L1238" s="1" t="s">
        <v>1769</v>
      </c>
      <c r="N1238" s="1" t="s">
        <v>1784</v>
      </c>
      <c r="P1238" s="1" t="s">
        <v>1785</v>
      </c>
      <c r="Q1238" s="3">
        <v>1</v>
      </c>
      <c r="S1238" s="23" t="s">
        <v>5949</v>
      </c>
      <c r="T1238" s="23" t="s">
        <v>4931</v>
      </c>
      <c r="U1238" s="3">
        <v>34</v>
      </c>
      <c r="W1238" s="45" t="str">
        <f>HYPERLINK("http://ictvonline.org/taxonomy/p/taxonomy-history?taxnode_id=201852754","ICTVonline=201852754")</f>
        <v>ICTVonline=201852754</v>
      </c>
      <c r="AA1238" s="1">
        <v>201850000</v>
      </c>
      <c r="AB1238" s="1">
        <v>34</v>
      </c>
    </row>
    <row r="1239" spans="1:28" x14ac:dyDescent="0.15">
      <c r="A1239" s="1">
        <v>3335</v>
      </c>
      <c r="B1239" s="1" t="s">
        <v>7159</v>
      </c>
      <c r="L1239" s="1" t="s">
        <v>1769</v>
      </c>
      <c r="N1239" s="1" t="s">
        <v>1786</v>
      </c>
      <c r="P1239" s="1" t="s">
        <v>1787</v>
      </c>
      <c r="Q1239" s="3">
        <v>1</v>
      </c>
      <c r="S1239" s="23" t="s">
        <v>5949</v>
      </c>
      <c r="T1239" s="23" t="s">
        <v>4931</v>
      </c>
      <c r="U1239" s="3">
        <v>34</v>
      </c>
      <c r="W1239" s="45" t="str">
        <f>HYPERLINK("http://ictvonline.org/taxonomy/p/taxonomy-history?taxnode_id=201852756","ICTVonline=201852756")</f>
        <v>ICTVonline=201852756</v>
      </c>
      <c r="AA1239" s="1">
        <v>201850000</v>
      </c>
      <c r="AB1239" s="1">
        <v>34</v>
      </c>
    </row>
    <row r="1240" spans="1:28" x14ac:dyDescent="0.15">
      <c r="A1240" s="1">
        <v>3341</v>
      </c>
      <c r="B1240" s="1" t="s">
        <v>7159</v>
      </c>
      <c r="L1240" s="1" t="s">
        <v>1788</v>
      </c>
      <c r="N1240" s="1" t="s">
        <v>748</v>
      </c>
      <c r="P1240" s="1" t="s">
        <v>749</v>
      </c>
      <c r="Q1240" s="3">
        <v>1</v>
      </c>
      <c r="S1240" s="23" t="s">
        <v>5949</v>
      </c>
      <c r="T1240" s="23" t="s">
        <v>4931</v>
      </c>
      <c r="U1240" s="3">
        <v>34</v>
      </c>
      <c r="W1240" s="45" t="str">
        <f>HYPERLINK("http://ictvonline.org/taxonomy/p/taxonomy-history?taxnode_id=201852760","ICTVonline=201852760")</f>
        <v>ICTVonline=201852760</v>
      </c>
      <c r="AA1240" s="1">
        <v>201850000</v>
      </c>
      <c r="AB1240" s="1">
        <v>34</v>
      </c>
    </row>
    <row r="1241" spans="1:28" x14ac:dyDescent="0.15">
      <c r="A1241" s="1">
        <v>3345</v>
      </c>
      <c r="B1241" s="1" t="s">
        <v>7159</v>
      </c>
      <c r="L1241" s="1" t="s">
        <v>1788</v>
      </c>
      <c r="N1241" s="1" t="s">
        <v>750</v>
      </c>
      <c r="P1241" s="4" t="s">
        <v>2380</v>
      </c>
      <c r="Q1241" s="3">
        <v>0</v>
      </c>
      <c r="R1241" s="24"/>
      <c r="S1241" s="24" t="s">
        <v>5949</v>
      </c>
      <c r="T1241" s="24" t="s">
        <v>4931</v>
      </c>
      <c r="U1241" s="3">
        <v>34</v>
      </c>
      <c r="W1241" s="45" t="str">
        <f>HYPERLINK("http://ictvonline.org/taxonomy/p/taxonomy-history?taxnode_id=201852762","ICTVonline=201852762")</f>
        <v>ICTVonline=201852762</v>
      </c>
      <c r="AA1241" s="1">
        <v>201850000</v>
      </c>
      <c r="AB1241" s="1">
        <v>34</v>
      </c>
    </row>
    <row r="1242" spans="1:28" x14ac:dyDescent="0.15">
      <c r="A1242" s="1">
        <v>3347</v>
      </c>
      <c r="B1242" s="1" t="s">
        <v>7159</v>
      </c>
      <c r="L1242" s="1" t="s">
        <v>1788</v>
      </c>
      <c r="N1242" s="1" t="s">
        <v>750</v>
      </c>
      <c r="P1242" s="1" t="s">
        <v>751</v>
      </c>
      <c r="Q1242" s="3">
        <v>1</v>
      </c>
      <c r="S1242" s="23" t="s">
        <v>5949</v>
      </c>
      <c r="T1242" s="23" t="s">
        <v>4931</v>
      </c>
      <c r="U1242" s="3">
        <v>34</v>
      </c>
      <c r="W1242" s="45" t="str">
        <f>HYPERLINK("http://ictvonline.org/taxonomy/p/taxonomy-history?taxnode_id=201852763","ICTVonline=201852763")</f>
        <v>ICTVonline=201852763</v>
      </c>
      <c r="AA1242" s="1">
        <v>201850000</v>
      </c>
      <c r="AB1242" s="1">
        <v>34</v>
      </c>
    </row>
    <row r="1243" spans="1:28" x14ac:dyDescent="0.15">
      <c r="A1243" s="1">
        <v>3351</v>
      </c>
      <c r="B1243" s="1" t="s">
        <v>7159</v>
      </c>
      <c r="L1243" s="1" t="s">
        <v>1788</v>
      </c>
      <c r="N1243" s="1" t="s">
        <v>752</v>
      </c>
      <c r="P1243" s="1" t="s">
        <v>753</v>
      </c>
      <c r="Q1243" s="3">
        <v>0</v>
      </c>
      <c r="S1243" s="23" t="s">
        <v>5949</v>
      </c>
      <c r="T1243" s="23" t="s">
        <v>4931</v>
      </c>
      <c r="U1243" s="3">
        <v>34</v>
      </c>
      <c r="W1243" s="45" t="str">
        <f>HYPERLINK("http://ictvonline.org/taxonomy/p/taxonomy-history?taxnode_id=201852765","ICTVonline=201852765")</f>
        <v>ICTVonline=201852765</v>
      </c>
      <c r="AA1243" s="1">
        <v>201850000</v>
      </c>
      <c r="AB1243" s="1">
        <v>34</v>
      </c>
    </row>
    <row r="1244" spans="1:28" x14ac:dyDescent="0.15">
      <c r="A1244" s="1">
        <v>3353</v>
      </c>
      <c r="B1244" s="1" t="s">
        <v>7159</v>
      </c>
      <c r="L1244" s="1" t="s">
        <v>1788</v>
      </c>
      <c r="N1244" s="1" t="s">
        <v>752</v>
      </c>
      <c r="P1244" s="1" t="s">
        <v>754</v>
      </c>
      <c r="Q1244" s="3">
        <v>1</v>
      </c>
      <c r="S1244" s="23" t="s">
        <v>5949</v>
      </c>
      <c r="T1244" s="23" t="s">
        <v>4931</v>
      </c>
      <c r="U1244" s="3">
        <v>34</v>
      </c>
      <c r="W1244" s="45" t="str">
        <f>HYPERLINK("http://ictvonline.org/taxonomy/p/taxonomy-history?taxnode_id=201852766","ICTVonline=201852766")</f>
        <v>ICTVonline=201852766</v>
      </c>
      <c r="AA1244" s="1">
        <v>201850000</v>
      </c>
      <c r="AB1244" s="1">
        <v>34</v>
      </c>
    </row>
    <row r="1245" spans="1:28" x14ac:dyDescent="0.15">
      <c r="A1245" s="1">
        <v>3355</v>
      </c>
      <c r="B1245" s="1" t="s">
        <v>7159</v>
      </c>
      <c r="L1245" s="1" t="s">
        <v>1788</v>
      </c>
      <c r="N1245" s="1" t="s">
        <v>752</v>
      </c>
      <c r="P1245" s="1" t="s">
        <v>755</v>
      </c>
      <c r="Q1245" s="3">
        <v>0</v>
      </c>
      <c r="S1245" s="23" t="s">
        <v>5949</v>
      </c>
      <c r="T1245" s="23" t="s">
        <v>4931</v>
      </c>
      <c r="U1245" s="3">
        <v>34</v>
      </c>
      <c r="W1245" s="45" t="str">
        <f>HYPERLINK("http://ictvonline.org/taxonomy/p/taxonomy-history?taxnode_id=201852767","ICTVonline=201852767")</f>
        <v>ICTVonline=201852767</v>
      </c>
      <c r="AA1245" s="1">
        <v>201850000</v>
      </c>
      <c r="AB1245" s="1">
        <v>34</v>
      </c>
    </row>
    <row r="1246" spans="1:28" x14ac:dyDescent="0.15">
      <c r="A1246" s="1">
        <v>3357</v>
      </c>
      <c r="B1246" s="1" t="s">
        <v>7159</v>
      </c>
      <c r="L1246" s="1" t="s">
        <v>1788</v>
      </c>
      <c r="N1246" s="1" t="s">
        <v>752</v>
      </c>
      <c r="P1246" s="1" t="s">
        <v>1791</v>
      </c>
      <c r="Q1246" s="3">
        <v>0</v>
      </c>
      <c r="S1246" s="23" t="s">
        <v>5949</v>
      </c>
      <c r="T1246" s="23" t="s">
        <v>4931</v>
      </c>
      <c r="U1246" s="3">
        <v>34</v>
      </c>
      <c r="W1246" s="45" t="str">
        <f>HYPERLINK("http://ictvonline.org/taxonomy/p/taxonomy-history?taxnode_id=201852768","ICTVonline=201852768")</f>
        <v>ICTVonline=201852768</v>
      </c>
      <c r="AA1246" s="1">
        <v>201850000</v>
      </c>
      <c r="AB1246" s="1">
        <v>34</v>
      </c>
    </row>
    <row r="1247" spans="1:28" x14ac:dyDescent="0.15">
      <c r="A1247" s="1">
        <v>3359</v>
      </c>
      <c r="B1247" s="1" t="s">
        <v>7159</v>
      </c>
      <c r="L1247" s="1" t="s">
        <v>1788</v>
      </c>
      <c r="N1247" s="1" t="s">
        <v>752</v>
      </c>
      <c r="P1247" s="1" t="s">
        <v>1792</v>
      </c>
      <c r="Q1247" s="3">
        <v>0</v>
      </c>
      <c r="S1247" s="23" t="s">
        <v>5949</v>
      </c>
      <c r="T1247" s="23" t="s">
        <v>4931</v>
      </c>
      <c r="U1247" s="3">
        <v>34</v>
      </c>
      <c r="W1247" s="45" t="str">
        <f>HYPERLINK("http://ictvonline.org/taxonomy/p/taxonomy-history?taxnode_id=201852769","ICTVonline=201852769")</f>
        <v>ICTVonline=201852769</v>
      </c>
      <c r="AA1247" s="1">
        <v>201850000</v>
      </c>
      <c r="AB1247" s="1">
        <v>34</v>
      </c>
    </row>
    <row r="1248" spans="1:28" x14ac:dyDescent="0.15">
      <c r="A1248" s="1">
        <v>3361</v>
      </c>
      <c r="B1248" s="1" t="s">
        <v>7159</v>
      </c>
      <c r="L1248" s="1" t="s">
        <v>1788</v>
      </c>
      <c r="N1248" s="1" t="s">
        <v>752</v>
      </c>
      <c r="P1248" s="1" t="s">
        <v>653</v>
      </c>
      <c r="Q1248" s="3">
        <v>0</v>
      </c>
      <c r="S1248" s="23" t="s">
        <v>5949</v>
      </c>
      <c r="T1248" s="23" t="s">
        <v>4931</v>
      </c>
      <c r="U1248" s="3">
        <v>34</v>
      </c>
      <c r="W1248" s="45" t="str">
        <f>HYPERLINK("http://ictvonline.org/taxonomy/p/taxonomy-history?taxnode_id=201852770","ICTVonline=201852770")</f>
        <v>ICTVonline=201852770</v>
      </c>
      <c r="AA1248" s="1">
        <v>201850000</v>
      </c>
      <c r="AB1248" s="1">
        <v>34</v>
      </c>
    </row>
    <row r="1249" spans="1:28" x14ac:dyDescent="0.15">
      <c r="A1249" s="1">
        <v>3365</v>
      </c>
      <c r="B1249" s="1" t="s">
        <v>7159</v>
      </c>
      <c r="L1249" s="1" t="s">
        <v>1788</v>
      </c>
      <c r="N1249" s="1" t="s">
        <v>654</v>
      </c>
      <c r="P1249" s="1" t="s">
        <v>655</v>
      </c>
      <c r="Q1249" s="3">
        <v>1</v>
      </c>
      <c r="S1249" s="23" t="s">
        <v>5949</v>
      </c>
      <c r="T1249" s="23" t="s">
        <v>4931</v>
      </c>
      <c r="U1249" s="3">
        <v>34</v>
      </c>
      <c r="W1249" s="45" t="str">
        <f>HYPERLINK("http://ictvonline.org/taxonomy/p/taxonomy-history?taxnode_id=201852772","ICTVonline=201852772")</f>
        <v>ICTVonline=201852772</v>
      </c>
      <c r="AA1249" s="1">
        <v>201850000</v>
      </c>
      <c r="AB1249" s="1">
        <v>34</v>
      </c>
    </row>
    <row r="1250" spans="1:28" x14ac:dyDescent="0.15">
      <c r="A1250" s="1">
        <v>3367</v>
      </c>
      <c r="B1250" s="1" t="s">
        <v>7159</v>
      </c>
      <c r="L1250" s="1" t="s">
        <v>1788</v>
      </c>
      <c r="N1250" s="1" t="s">
        <v>654</v>
      </c>
      <c r="P1250" s="1" t="s">
        <v>69</v>
      </c>
      <c r="Q1250" s="3">
        <v>0</v>
      </c>
      <c r="S1250" s="23" t="s">
        <v>5949</v>
      </c>
      <c r="T1250" s="23" t="s">
        <v>4931</v>
      </c>
      <c r="U1250" s="3">
        <v>34</v>
      </c>
      <c r="W1250" s="45" t="str">
        <f>HYPERLINK("http://ictvonline.org/taxonomy/p/taxonomy-history?taxnode_id=201852773","ICTVonline=201852773")</f>
        <v>ICTVonline=201852773</v>
      </c>
      <c r="AA1250" s="1">
        <v>201850000</v>
      </c>
      <c r="AB1250" s="1">
        <v>34</v>
      </c>
    </row>
    <row r="1251" spans="1:28" x14ac:dyDescent="0.15">
      <c r="A1251" s="1">
        <v>3369</v>
      </c>
      <c r="B1251" s="1" t="s">
        <v>7159</v>
      </c>
      <c r="L1251" s="1" t="s">
        <v>1788</v>
      </c>
      <c r="N1251" s="1" t="s">
        <v>654</v>
      </c>
      <c r="P1251" s="1" t="s">
        <v>1795</v>
      </c>
      <c r="Q1251" s="3">
        <v>0</v>
      </c>
      <c r="S1251" s="23" t="s">
        <v>5949</v>
      </c>
      <c r="T1251" s="23" t="s">
        <v>4931</v>
      </c>
      <c r="U1251" s="3">
        <v>34</v>
      </c>
      <c r="W1251" s="45" t="str">
        <f>HYPERLINK("http://ictvonline.org/taxonomy/p/taxonomy-history?taxnode_id=201852774","ICTVonline=201852774")</f>
        <v>ICTVonline=201852774</v>
      </c>
      <c r="AA1251" s="1">
        <v>201850000</v>
      </c>
      <c r="AB1251" s="1">
        <v>34</v>
      </c>
    </row>
    <row r="1252" spans="1:28" x14ac:dyDescent="0.15">
      <c r="A1252" s="1">
        <v>3371</v>
      </c>
      <c r="B1252" s="1" t="s">
        <v>7159</v>
      </c>
      <c r="L1252" s="1" t="s">
        <v>1788</v>
      </c>
      <c r="N1252" s="1" t="s">
        <v>654</v>
      </c>
      <c r="P1252" s="1" t="s">
        <v>1796</v>
      </c>
      <c r="Q1252" s="3">
        <v>0</v>
      </c>
      <c r="S1252" s="23" t="s">
        <v>5949</v>
      </c>
      <c r="T1252" s="23" t="s">
        <v>4931</v>
      </c>
      <c r="U1252" s="3">
        <v>34</v>
      </c>
      <c r="W1252" s="45" t="str">
        <f>HYPERLINK("http://ictvonline.org/taxonomy/p/taxonomy-history?taxnode_id=201852775","ICTVonline=201852775")</f>
        <v>ICTVonline=201852775</v>
      </c>
      <c r="AA1252" s="1">
        <v>201850000</v>
      </c>
      <c r="AB1252" s="1">
        <v>34</v>
      </c>
    </row>
    <row r="1253" spans="1:28" x14ac:dyDescent="0.15">
      <c r="A1253" s="1">
        <v>3375</v>
      </c>
      <c r="B1253" s="1" t="s">
        <v>7159</v>
      </c>
      <c r="L1253" s="1" t="s">
        <v>1788</v>
      </c>
      <c r="N1253" s="1" t="s">
        <v>1797</v>
      </c>
      <c r="P1253" s="1" t="s">
        <v>5341</v>
      </c>
      <c r="Q1253" s="3">
        <v>0</v>
      </c>
      <c r="S1253" s="23" t="s">
        <v>5949</v>
      </c>
      <c r="T1253" s="23" t="s">
        <v>4931</v>
      </c>
      <c r="U1253" s="3">
        <v>34</v>
      </c>
      <c r="W1253" s="45" t="str">
        <f>HYPERLINK("http://ictvonline.org/taxonomy/p/taxonomy-history?taxnode_id=201855758","ICTVonline=201855758")</f>
        <v>ICTVonline=201855758</v>
      </c>
      <c r="AA1253" s="1">
        <v>201850000</v>
      </c>
      <c r="AB1253" s="1">
        <v>34</v>
      </c>
    </row>
    <row r="1254" spans="1:28" x14ac:dyDescent="0.15">
      <c r="A1254" s="1">
        <v>3377</v>
      </c>
      <c r="B1254" s="1" t="s">
        <v>7159</v>
      </c>
      <c r="L1254" s="1" t="s">
        <v>1788</v>
      </c>
      <c r="N1254" s="1" t="s">
        <v>1797</v>
      </c>
      <c r="P1254" s="1" t="s">
        <v>1798</v>
      </c>
      <c r="Q1254" s="3">
        <v>0</v>
      </c>
      <c r="S1254" s="23" t="s">
        <v>5949</v>
      </c>
      <c r="T1254" s="23" t="s">
        <v>4931</v>
      </c>
      <c r="U1254" s="3">
        <v>34</v>
      </c>
      <c r="W1254" s="45" t="str">
        <f>HYPERLINK("http://ictvonline.org/taxonomy/p/taxonomy-history?taxnode_id=201852777","ICTVonline=201852777")</f>
        <v>ICTVonline=201852777</v>
      </c>
      <c r="AA1254" s="1">
        <v>201850000</v>
      </c>
      <c r="AB1254" s="1">
        <v>34</v>
      </c>
    </row>
    <row r="1255" spans="1:28" x14ac:dyDescent="0.15">
      <c r="A1255" s="1">
        <v>3379</v>
      </c>
      <c r="B1255" s="1" t="s">
        <v>7159</v>
      </c>
      <c r="L1255" s="1" t="s">
        <v>1788</v>
      </c>
      <c r="N1255" s="1" t="s">
        <v>1797</v>
      </c>
      <c r="P1255" s="1" t="s">
        <v>1799</v>
      </c>
      <c r="Q1255" s="3">
        <v>0</v>
      </c>
      <c r="S1255" s="23" t="s">
        <v>5949</v>
      </c>
      <c r="T1255" s="23" t="s">
        <v>4931</v>
      </c>
      <c r="U1255" s="3">
        <v>34</v>
      </c>
      <c r="W1255" s="45" t="str">
        <f>HYPERLINK("http://ictvonline.org/taxonomy/p/taxonomy-history?taxnode_id=201852778","ICTVonline=201852778")</f>
        <v>ICTVonline=201852778</v>
      </c>
      <c r="AA1255" s="1">
        <v>201850000</v>
      </c>
      <c r="AB1255" s="1">
        <v>34</v>
      </c>
    </row>
    <row r="1256" spans="1:28" x14ac:dyDescent="0.15">
      <c r="A1256" s="1">
        <v>3381</v>
      </c>
      <c r="B1256" s="1" t="s">
        <v>7159</v>
      </c>
      <c r="L1256" s="1" t="s">
        <v>1788</v>
      </c>
      <c r="N1256" s="1" t="s">
        <v>1797</v>
      </c>
      <c r="P1256" s="1" t="s">
        <v>1800</v>
      </c>
      <c r="Q1256" s="3">
        <v>0</v>
      </c>
      <c r="S1256" s="23" t="s">
        <v>5949</v>
      </c>
      <c r="T1256" s="23" t="s">
        <v>4931</v>
      </c>
      <c r="U1256" s="3">
        <v>34</v>
      </c>
      <c r="W1256" s="45" t="str">
        <f>HYPERLINK("http://ictvonline.org/taxonomy/p/taxonomy-history?taxnode_id=201852779","ICTVonline=201852779")</f>
        <v>ICTVonline=201852779</v>
      </c>
      <c r="AA1256" s="1">
        <v>201850000</v>
      </c>
      <c r="AB1256" s="1">
        <v>34</v>
      </c>
    </row>
    <row r="1257" spans="1:28" x14ac:dyDescent="0.15">
      <c r="A1257" s="1">
        <v>3383</v>
      </c>
      <c r="B1257" s="1" t="s">
        <v>7159</v>
      </c>
      <c r="L1257" s="1" t="s">
        <v>1788</v>
      </c>
      <c r="N1257" s="1" t="s">
        <v>1797</v>
      </c>
      <c r="P1257" s="1" t="s">
        <v>70</v>
      </c>
      <c r="Q1257" s="3">
        <v>0</v>
      </c>
      <c r="S1257" s="23" t="s">
        <v>5949</v>
      </c>
      <c r="T1257" s="23" t="s">
        <v>4931</v>
      </c>
      <c r="U1257" s="3">
        <v>34</v>
      </c>
      <c r="W1257" s="45" t="str">
        <f>HYPERLINK("http://ictvonline.org/taxonomy/p/taxonomy-history?taxnode_id=201852780","ICTVonline=201852780")</f>
        <v>ICTVonline=201852780</v>
      </c>
      <c r="AA1257" s="1">
        <v>201850000</v>
      </c>
      <c r="AB1257" s="1">
        <v>34</v>
      </c>
    </row>
    <row r="1258" spans="1:28" x14ac:dyDescent="0.15">
      <c r="A1258" s="1">
        <v>3385</v>
      </c>
      <c r="B1258" s="1" t="s">
        <v>7159</v>
      </c>
      <c r="L1258" s="1" t="s">
        <v>1788</v>
      </c>
      <c r="N1258" s="1" t="s">
        <v>1797</v>
      </c>
      <c r="P1258" s="1" t="s">
        <v>1801</v>
      </c>
      <c r="Q1258" s="3">
        <v>0</v>
      </c>
      <c r="S1258" s="23" t="s">
        <v>5949</v>
      </c>
      <c r="T1258" s="23" t="s">
        <v>4931</v>
      </c>
      <c r="U1258" s="3">
        <v>34</v>
      </c>
      <c r="W1258" s="45" t="str">
        <f>HYPERLINK("http://ictvonline.org/taxonomy/p/taxonomy-history?taxnode_id=201852781","ICTVonline=201852781")</f>
        <v>ICTVonline=201852781</v>
      </c>
      <c r="AA1258" s="1">
        <v>201850000</v>
      </c>
      <c r="AB1258" s="1">
        <v>34</v>
      </c>
    </row>
    <row r="1259" spans="1:28" x14ac:dyDescent="0.15">
      <c r="A1259" s="1">
        <v>3387</v>
      </c>
      <c r="B1259" s="1" t="s">
        <v>7159</v>
      </c>
      <c r="L1259" s="1" t="s">
        <v>1788</v>
      </c>
      <c r="N1259" s="1" t="s">
        <v>1797</v>
      </c>
      <c r="P1259" s="1" t="s">
        <v>1802</v>
      </c>
      <c r="Q1259" s="3">
        <v>0</v>
      </c>
      <c r="S1259" s="23" t="s">
        <v>5949</v>
      </c>
      <c r="T1259" s="23" t="s">
        <v>4931</v>
      </c>
      <c r="U1259" s="3">
        <v>34</v>
      </c>
      <c r="W1259" s="45" t="str">
        <f>HYPERLINK("http://ictvonline.org/taxonomy/p/taxonomy-history?taxnode_id=201852782","ICTVonline=201852782")</f>
        <v>ICTVonline=201852782</v>
      </c>
      <c r="AA1259" s="1">
        <v>201850000</v>
      </c>
      <c r="AB1259" s="1">
        <v>34</v>
      </c>
    </row>
    <row r="1260" spans="1:28" x14ac:dyDescent="0.15">
      <c r="A1260" s="1">
        <v>3389</v>
      </c>
      <c r="B1260" s="1" t="s">
        <v>7159</v>
      </c>
      <c r="L1260" s="1" t="s">
        <v>1788</v>
      </c>
      <c r="N1260" s="1" t="s">
        <v>1797</v>
      </c>
      <c r="P1260" s="1" t="s">
        <v>764</v>
      </c>
      <c r="Q1260" s="3">
        <v>0</v>
      </c>
      <c r="S1260" s="23" t="s">
        <v>5949</v>
      </c>
      <c r="T1260" s="23" t="s">
        <v>4931</v>
      </c>
      <c r="U1260" s="3">
        <v>34</v>
      </c>
      <c r="W1260" s="45" t="str">
        <f>HYPERLINK("http://ictvonline.org/taxonomy/p/taxonomy-history?taxnode_id=201852783","ICTVonline=201852783")</f>
        <v>ICTVonline=201852783</v>
      </c>
      <c r="AA1260" s="1">
        <v>201850000</v>
      </c>
      <c r="AB1260" s="1">
        <v>34</v>
      </c>
    </row>
    <row r="1261" spans="1:28" x14ac:dyDescent="0.15">
      <c r="A1261" s="1">
        <v>3391</v>
      </c>
      <c r="B1261" s="1" t="s">
        <v>7159</v>
      </c>
      <c r="L1261" s="1" t="s">
        <v>1788</v>
      </c>
      <c r="N1261" s="1" t="s">
        <v>1797</v>
      </c>
      <c r="P1261" s="1" t="s">
        <v>765</v>
      </c>
      <c r="Q1261" s="3">
        <v>0</v>
      </c>
      <c r="S1261" s="23" t="s">
        <v>5949</v>
      </c>
      <c r="T1261" s="23" t="s">
        <v>4931</v>
      </c>
      <c r="U1261" s="3">
        <v>34</v>
      </c>
      <c r="W1261" s="45" t="str">
        <f>HYPERLINK("http://ictvonline.org/taxonomy/p/taxonomy-history?taxnode_id=201852784","ICTVonline=201852784")</f>
        <v>ICTVonline=201852784</v>
      </c>
      <c r="AA1261" s="1">
        <v>201850000</v>
      </c>
      <c r="AB1261" s="1">
        <v>34</v>
      </c>
    </row>
    <row r="1262" spans="1:28" x14ac:dyDescent="0.15">
      <c r="A1262" s="1">
        <v>3393</v>
      </c>
      <c r="B1262" s="1" t="s">
        <v>7159</v>
      </c>
      <c r="L1262" s="1" t="s">
        <v>1788</v>
      </c>
      <c r="N1262" s="1" t="s">
        <v>1797</v>
      </c>
      <c r="P1262" s="1" t="s">
        <v>766</v>
      </c>
      <c r="Q1262" s="3">
        <v>0</v>
      </c>
      <c r="S1262" s="23" t="s">
        <v>5949</v>
      </c>
      <c r="T1262" s="23" t="s">
        <v>4931</v>
      </c>
      <c r="U1262" s="3">
        <v>34</v>
      </c>
      <c r="W1262" s="45" t="str">
        <f>HYPERLINK("http://ictvonline.org/taxonomy/p/taxonomy-history?taxnode_id=201852785","ICTVonline=201852785")</f>
        <v>ICTVonline=201852785</v>
      </c>
      <c r="AA1262" s="1">
        <v>201850000</v>
      </c>
      <c r="AB1262" s="1">
        <v>34</v>
      </c>
    </row>
    <row r="1263" spans="1:28" x14ac:dyDescent="0.15">
      <c r="A1263" s="1">
        <v>3395</v>
      </c>
      <c r="B1263" s="1" t="s">
        <v>7159</v>
      </c>
      <c r="L1263" s="1" t="s">
        <v>1788</v>
      </c>
      <c r="N1263" s="1" t="s">
        <v>1797</v>
      </c>
      <c r="P1263" s="1" t="s">
        <v>767</v>
      </c>
      <c r="Q1263" s="3">
        <v>0</v>
      </c>
      <c r="S1263" s="23" t="s">
        <v>5949</v>
      </c>
      <c r="T1263" s="23" t="s">
        <v>4931</v>
      </c>
      <c r="U1263" s="3">
        <v>34</v>
      </c>
      <c r="W1263" s="45" t="str">
        <f>HYPERLINK("http://ictvonline.org/taxonomy/p/taxonomy-history?taxnode_id=201852786","ICTVonline=201852786")</f>
        <v>ICTVonline=201852786</v>
      </c>
      <c r="AA1263" s="1">
        <v>201850000</v>
      </c>
      <c r="AB1263" s="1">
        <v>34</v>
      </c>
    </row>
    <row r="1264" spans="1:28" x14ac:dyDescent="0.15">
      <c r="A1264" s="1">
        <v>3397</v>
      </c>
      <c r="B1264" s="1" t="s">
        <v>7159</v>
      </c>
      <c r="L1264" s="1" t="s">
        <v>1788</v>
      </c>
      <c r="N1264" s="1" t="s">
        <v>1797</v>
      </c>
      <c r="P1264" s="1" t="s">
        <v>71</v>
      </c>
      <c r="Q1264" s="3">
        <v>0</v>
      </c>
      <c r="S1264" s="23" t="s">
        <v>5949</v>
      </c>
      <c r="T1264" s="23" t="s">
        <v>4931</v>
      </c>
      <c r="U1264" s="3">
        <v>34</v>
      </c>
      <c r="W1264" s="45" t="str">
        <f>HYPERLINK("http://ictvonline.org/taxonomy/p/taxonomy-history?taxnode_id=201852787","ICTVonline=201852787")</f>
        <v>ICTVonline=201852787</v>
      </c>
      <c r="AA1264" s="1">
        <v>201850000</v>
      </c>
      <c r="AB1264" s="1">
        <v>34</v>
      </c>
    </row>
    <row r="1265" spans="1:28" x14ac:dyDescent="0.15">
      <c r="A1265" s="1">
        <v>3399</v>
      </c>
      <c r="B1265" s="1" t="s">
        <v>7159</v>
      </c>
      <c r="L1265" s="1" t="s">
        <v>1788</v>
      </c>
      <c r="N1265" s="1" t="s">
        <v>1797</v>
      </c>
      <c r="P1265" s="1" t="s">
        <v>768</v>
      </c>
      <c r="Q1265" s="3">
        <v>0</v>
      </c>
      <c r="S1265" s="23" t="s">
        <v>5949</v>
      </c>
      <c r="T1265" s="23" t="s">
        <v>4931</v>
      </c>
      <c r="U1265" s="3">
        <v>34</v>
      </c>
      <c r="W1265" s="45" t="str">
        <f>HYPERLINK("http://ictvonline.org/taxonomy/p/taxonomy-history?taxnode_id=201852788","ICTVonline=201852788")</f>
        <v>ICTVonline=201852788</v>
      </c>
      <c r="AA1265" s="1">
        <v>201850000</v>
      </c>
      <c r="AB1265" s="1">
        <v>34</v>
      </c>
    </row>
    <row r="1266" spans="1:28" x14ac:dyDescent="0.15">
      <c r="A1266" s="1">
        <v>3401</v>
      </c>
      <c r="B1266" s="1" t="s">
        <v>7159</v>
      </c>
      <c r="L1266" s="1" t="s">
        <v>1788</v>
      </c>
      <c r="N1266" s="1" t="s">
        <v>1797</v>
      </c>
      <c r="P1266" s="1" t="s">
        <v>225</v>
      </c>
      <c r="Q1266" s="3">
        <v>0</v>
      </c>
      <c r="S1266" s="23" t="s">
        <v>5949</v>
      </c>
      <c r="T1266" s="23" t="s">
        <v>4931</v>
      </c>
      <c r="U1266" s="3">
        <v>34</v>
      </c>
      <c r="W1266" s="45" t="str">
        <f>HYPERLINK("http://ictvonline.org/taxonomy/p/taxonomy-history?taxnode_id=201852789","ICTVonline=201852789")</f>
        <v>ICTVonline=201852789</v>
      </c>
      <c r="AA1266" s="1">
        <v>201850000</v>
      </c>
      <c r="AB1266" s="1">
        <v>34</v>
      </c>
    </row>
    <row r="1267" spans="1:28" x14ac:dyDescent="0.15">
      <c r="A1267" s="1">
        <v>3403</v>
      </c>
      <c r="B1267" s="1" t="s">
        <v>7159</v>
      </c>
      <c r="L1267" s="1" t="s">
        <v>1788</v>
      </c>
      <c r="N1267" s="1" t="s">
        <v>1797</v>
      </c>
      <c r="P1267" s="1" t="s">
        <v>5342</v>
      </c>
      <c r="Q1267" s="3">
        <v>0</v>
      </c>
      <c r="S1267" s="23" t="s">
        <v>5949</v>
      </c>
      <c r="T1267" s="23" t="s">
        <v>4931</v>
      </c>
      <c r="U1267" s="3">
        <v>34</v>
      </c>
      <c r="W1267" s="45" t="str">
        <f>HYPERLINK("http://ictvonline.org/taxonomy/p/taxonomy-history?taxnode_id=201855759","ICTVonline=201855759")</f>
        <v>ICTVonline=201855759</v>
      </c>
      <c r="AA1267" s="1">
        <v>201850000</v>
      </c>
      <c r="AB1267" s="1">
        <v>34</v>
      </c>
    </row>
    <row r="1268" spans="1:28" x14ac:dyDescent="0.15">
      <c r="A1268" s="1">
        <v>3405</v>
      </c>
      <c r="B1268" s="1" t="s">
        <v>7159</v>
      </c>
      <c r="L1268" s="1" t="s">
        <v>1788</v>
      </c>
      <c r="N1268" s="1" t="s">
        <v>1797</v>
      </c>
      <c r="P1268" s="1" t="s">
        <v>226</v>
      </c>
      <c r="Q1268" s="3">
        <v>0</v>
      </c>
      <c r="S1268" s="23" t="s">
        <v>5949</v>
      </c>
      <c r="T1268" s="23" t="s">
        <v>4931</v>
      </c>
      <c r="U1268" s="3">
        <v>34</v>
      </c>
      <c r="W1268" s="45" t="str">
        <f>HYPERLINK("http://ictvonline.org/taxonomy/p/taxonomy-history?taxnode_id=201852790","ICTVonline=201852790")</f>
        <v>ICTVonline=201852790</v>
      </c>
      <c r="AA1268" s="1">
        <v>201850000</v>
      </c>
      <c r="AB1268" s="1">
        <v>34</v>
      </c>
    </row>
    <row r="1269" spans="1:28" x14ac:dyDescent="0.15">
      <c r="A1269" s="1">
        <v>3407</v>
      </c>
      <c r="B1269" s="1" t="s">
        <v>7159</v>
      </c>
      <c r="L1269" s="1" t="s">
        <v>1788</v>
      </c>
      <c r="N1269" s="1" t="s">
        <v>1797</v>
      </c>
      <c r="P1269" s="1" t="s">
        <v>227</v>
      </c>
      <c r="Q1269" s="3">
        <v>0</v>
      </c>
      <c r="S1269" s="23" t="s">
        <v>5949</v>
      </c>
      <c r="T1269" s="23" t="s">
        <v>4931</v>
      </c>
      <c r="U1269" s="3">
        <v>34</v>
      </c>
      <c r="W1269" s="45" t="str">
        <f>HYPERLINK("http://ictvonline.org/taxonomy/p/taxonomy-history?taxnode_id=201852791","ICTVonline=201852791")</f>
        <v>ICTVonline=201852791</v>
      </c>
      <c r="AA1269" s="1">
        <v>201850000</v>
      </c>
      <c r="AB1269" s="1">
        <v>34</v>
      </c>
    </row>
    <row r="1270" spans="1:28" x14ac:dyDescent="0.15">
      <c r="A1270" s="1">
        <v>3409</v>
      </c>
      <c r="B1270" s="1" t="s">
        <v>7159</v>
      </c>
      <c r="L1270" s="1" t="s">
        <v>1788</v>
      </c>
      <c r="N1270" s="1" t="s">
        <v>1797</v>
      </c>
      <c r="P1270" s="1" t="s">
        <v>1219</v>
      </c>
      <c r="Q1270" s="3">
        <v>0</v>
      </c>
      <c r="S1270" s="23" t="s">
        <v>5949</v>
      </c>
      <c r="T1270" s="23" t="s">
        <v>4931</v>
      </c>
      <c r="U1270" s="3">
        <v>34</v>
      </c>
      <c r="W1270" s="45" t="str">
        <f>HYPERLINK("http://ictvonline.org/taxonomy/p/taxonomy-history?taxnode_id=201852792","ICTVonline=201852792")</f>
        <v>ICTVonline=201852792</v>
      </c>
      <c r="AA1270" s="1">
        <v>201850000</v>
      </c>
      <c r="AB1270" s="1">
        <v>34</v>
      </c>
    </row>
    <row r="1271" spans="1:28" x14ac:dyDescent="0.15">
      <c r="A1271" s="1">
        <v>3411</v>
      </c>
      <c r="B1271" s="1" t="s">
        <v>7159</v>
      </c>
      <c r="L1271" s="1" t="s">
        <v>1788</v>
      </c>
      <c r="N1271" s="1" t="s">
        <v>1797</v>
      </c>
      <c r="P1271" s="1" t="s">
        <v>72</v>
      </c>
      <c r="Q1271" s="3">
        <v>0</v>
      </c>
      <c r="S1271" s="23" t="s">
        <v>5949</v>
      </c>
      <c r="T1271" s="23" t="s">
        <v>4931</v>
      </c>
      <c r="U1271" s="3">
        <v>34</v>
      </c>
      <c r="W1271" s="45" t="str">
        <f>HYPERLINK("http://ictvonline.org/taxonomy/p/taxonomy-history?taxnode_id=201852793","ICTVonline=201852793")</f>
        <v>ICTVonline=201852793</v>
      </c>
      <c r="AA1271" s="1">
        <v>201850000</v>
      </c>
      <c r="AB1271" s="1">
        <v>34</v>
      </c>
    </row>
    <row r="1272" spans="1:28" x14ac:dyDescent="0.15">
      <c r="A1272" s="1">
        <v>3413</v>
      </c>
      <c r="B1272" s="1" t="s">
        <v>7159</v>
      </c>
      <c r="L1272" s="1" t="s">
        <v>1788</v>
      </c>
      <c r="N1272" s="1" t="s">
        <v>1797</v>
      </c>
      <c r="P1272" s="1" t="s">
        <v>1962</v>
      </c>
      <c r="Q1272" s="3">
        <v>1</v>
      </c>
      <c r="S1272" s="23" t="s">
        <v>5949</v>
      </c>
      <c r="T1272" s="23" t="s">
        <v>4931</v>
      </c>
      <c r="U1272" s="3">
        <v>34</v>
      </c>
      <c r="W1272" s="45" t="str">
        <f>HYPERLINK("http://ictvonline.org/taxonomy/p/taxonomy-history?taxnode_id=201852794","ICTVonline=201852794")</f>
        <v>ICTVonline=201852794</v>
      </c>
      <c r="AA1272" s="1">
        <v>201850000</v>
      </c>
      <c r="AB1272" s="1">
        <v>34</v>
      </c>
    </row>
    <row r="1273" spans="1:28" x14ac:dyDescent="0.15">
      <c r="A1273" s="1">
        <v>3415</v>
      </c>
      <c r="B1273" s="1" t="s">
        <v>7159</v>
      </c>
      <c r="L1273" s="1" t="s">
        <v>1788</v>
      </c>
      <c r="N1273" s="1" t="s">
        <v>1797</v>
      </c>
      <c r="P1273" s="1" t="s">
        <v>5343</v>
      </c>
      <c r="Q1273" s="3">
        <v>0</v>
      </c>
      <c r="S1273" s="23" t="s">
        <v>5949</v>
      </c>
      <c r="T1273" s="23" t="s">
        <v>4931</v>
      </c>
      <c r="U1273" s="3">
        <v>34</v>
      </c>
      <c r="W1273" s="45" t="str">
        <f>HYPERLINK("http://ictvonline.org/taxonomy/p/taxonomy-history?taxnode_id=201855760","ICTVonline=201855760")</f>
        <v>ICTVonline=201855760</v>
      </c>
      <c r="AA1273" s="1">
        <v>201850000</v>
      </c>
      <c r="AB1273" s="1">
        <v>34</v>
      </c>
    </row>
    <row r="1274" spans="1:28" x14ac:dyDescent="0.15">
      <c r="A1274" s="1">
        <v>3417</v>
      </c>
      <c r="B1274" s="1" t="s">
        <v>7159</v>
      </c>
      <c r="L1274" s="1" t="s">
        <v>1788</v>
      </c>
      <c r="N1274" s="1" t="s">
        <v>1797</v>
      </c>
      <c r="P1274" s="1" t="s">
        <v>1963</v>
      </c>
      <c r="Q1274" s="3">
        <v>0</v>
      </c>
      <c r="S1274" s="23" t="s">
        <v>5949</v>
      </c>
      <c r="T1274" s="23" t="s">
        <v>4931</v>
      </c>
      <c r="U1274" s="3">
        <v>34</v>
      </c>
      <c r="W1274" s="45" t="str">
        <f>HYPERLINK("http://ictvonline.org/taxonomy/p/taxonomy-history?taxnode_id=201852795","ICTVonline=201852795")</f>
        <v>ICTVonline=201852795</v>
      </c>
      <c r="AA1274" s="1">
        <v>201850000</v>
      </c>
      <c r="AB1274" s="1">
        <v>34</v>
      </c>
    </row>
    <row r="1275" spans="1:28" x14ac:dyDescent="0.15">
      <c r="A1275" s="1">
        <v>3421</v>
      </c>
      <c r="B1275" s="1" t="s">
        <v>7159</v>
      </c>
      <c r="L1275" s="1" t="s">
        <v>1788</v>
      </c>
      <c r="N1275" s="1" t="s">
        <v>1964</v>
      </c>
      <c r="P1275" s="1" t="s">
        <v>1965</v>
      </c>
      <c r="Q1275" s="3">
        <v>1</v>
      </c>
      <c r="S1275" s="23" t="s">
        <v>5949</v>
      </c>
      <c r="T1275" s="23" t="s">
        <v>4931</v>
      </c>
      <c r="U1275" s="3">
        <v>34</v>
      </c>
      <c r="W1275" s="45" t="str">
        <f>HYPERLINK("http://ictvonline.org/taxonomy/p/taxonomy-history?taxnode_id=201852797","ICTVonline=201852797")</f>
        <v>ICTVonline=201852797</v>
      </c>
      <c r="AA1275" s="1">
        <v>201850000</v>
      </c>
      <c r="AB1275" s="1">
        <v>34</v>
      </c>
    </row>
    <row r="1276" spans="1:28" x14ac:dyDescent="0.15">
      <c r="A1276" s="1">
        <v>3427</v>
      </c>
      <c r="B1276" s="1" t="s">
        <v>7159</v>
      </c>
      <c r="L1276" s="1" t="s">
        <v>2002</v>
      </c>
      <c r="N1276" s="1" t="s">
        <v>6993</v>
      </c>
      <c r="P1276" s="1" t="s">
        <v>6994</v>
      </c>
      <c r="Q1276" s="3">
        <v>1</v>
      </c>
      <c r="S1276" s="23" t="s">
        <v>5949</v>
      </c>
      <c r="T1276" s="23" t="s">
        <v>4929</v>
      </c>
      <c r="U1276" s="3">
        <v>34</v>
      </c>
      <c r="V1276" s="3" t="s">
        <v>6995</v>
      </c>
      <c r="W1276" s="45" t="str">
        <f>HYPERLINK("http://ictvonline.org/taxonomy/p/taxonomy-history?taxnode_id=201856495","ICTVonline=201856495")</f>
        <v>ICTVonline=201856495</v>
      </c>
      <c r="AA1276" s="1">
        <v>201850000</v>
      </c>
      <c r="AB1276" s="1">
        <v>34</v>
      </c>
    </row>
    <row r="1277" spans="1:28" x14ac:dyDescent="0.15">
      <c r="A1277" s="1">
        <v>3431</v>
      </c>
      <c r="B1277" s="1" t="s">
        <v>7159</v>
      </c>
      <c r="L1277" s="1" t="s">
        <v>2002</v>
      </c>
      <c r="N1277" s="1" t="s">
        <v>2003</v>
      </c>
      <c r="P1277" s="1" t="s">
        <v>2004</v>
      </c>
      <c r="Q1277" s="3">
        <v>0</v>
      </c>
      <c r="S1277" s="23" t="s">
        <v>5949</v>
      </c>
      <c r="T1277" s="23" t="s">
        <v>4931</v>
      </c>
      <c r="U1277" s="3">
        <v>34</v>
      </c>
      <c r="W1277" s="45" t="str">
        <f>HYPERLINK("http://ictvonline.org/taxonomy/p/taxonomy-history?taxnode_id=201852801","ICTVonline=201852801")</f>
        <v>ICTVonline=201852801</v>
      </c>
      <c r="AA1277" s="1">
        <v>201850000</v>
      </c>
      <c r="AB1277" s="1">
        <v>34</v>
      </c>
    </row>
    <row r="1278" spans="1:28" x14ac:dyDescent="0.15">
      <c r="A1278" s="1">
        <v>3433</v>
      </c>
      <c r="B1278" s="1" t="s">
        <v>7159</v>
      </c>
      <c r="L1278" s="1" t="s">
        <v>2002</v>
      </c>
      <c r="N1278" s="1" t="s">
        <v>2003</v>
      </c>
      <c r="P1278" s="1" t="s">
        <v>2005</v>
      </c>
      <c r="Q1278" s="3">
        <v>1</v>
      </c>
      <c r="S1278" s="23" t="s">
        <v>5949</v>
      </c>
      <c r="T1278" s="23" t="s">
        <v>4931</v>
      </c>
      <c r="U1278" s="3">
        <v>34</v>
      </c>
      <c r="W1278" s="45" t="str">
        <f>HYPERLINK("http://ictvonline.org/taxonomy/p/taxonomy-history?taxnode_id=201852802","ICTVonline=201852802")</f>
        <v>ICTVonline=201852802</v>
      </c>
      <c r="AA1278" s="1">
        <v>201850000</v>
      </c>
      <c r="AB1278" s="1">
        <v>34</v>
      </c>
    </row>
    <row r="1279" spans="1:28" x14ac:dyDescent="0.15">
      <c r="A1279" s="1">
        <v>3437</v>
      </c>
      <c r="B1279" s="1" t="s">
        <v>7159</v>
      </c>
      <c r="L1279" s="1" t="s">
        <v>2002</v>
      </c>
      <c r="N1279" s="1" t="s">
        <v>6996</v>
      </c>
      <c r="P1279" s="1" t="s">
        <v>6997</v>
      </c>
      <c r="Q1279" s="3">
        <v>1</v>
      </c>
      <c r="S1279" s="23" t="s">
        <v>5949</v>
      </c>
      <c r="T1279" s="23" t="s">
        <v>4929</v>
      </c>
      <c r="U1279" s="3">
        <v>34</v>
      </c>
      <c r="V1279" s="3" t="s">
        <v>6995</v>
      </c>
      <c r="W1279" s="45" t="str">
        <f>HYPERLINK("http://ictvonline.org/taxonomy/p/taxonomy-history?taxnode_id=201856497","ICTVonline=201856497")</f>
        <v>ICTVonline=201856497</v>
      </c>
      <c r="AA1279" s="1">
        <v>201850000</v>
      </c>
      <c r="AB1279" s="1">
        <v>34</v>
      </c>
    </row>
    <row r="1280" spans="1:28" x14ac:dyDescent="0.15">
      <c r="A1280" s="1">
        <v>3441</v>
      </c>
      <c r="B1280" s="1" t="s">
        <v>7159</v>
      </c>
      <c r="L1280" s="1" t="s">
        <v>2002</v>
      </c>
      <c r="N1280" s="1" t="s">
        <v>6998</v>
      </c>
      <c r="P1280" s="1" t="s">
        <v>6999</v>
      </c>
      <c r="Q1280" s="3">
        <v>1</v>
      </c>
      <c r="S1280" s="23" t="s">
        <v>5949</v>
      </c>
      <c r="T1280" s="23" t="s">
        <v>4929</v>
      </c>
      <c r="U1280" s="3">
        <v>34</v>
      </c>
      <c r="V1280" s="3" t="s">
        <v>6995</v>
      </c>
      <c r="W1280" s="45" t="str">
        <f>HYPERLINK("http://ictvonline.org/taxonomy/p/taxonomy-history?taxnode_id=201856499","ICTVonline=201856499")</f>
        <v>ICTVonline=201856499</v>
      </c>
      <c r="AA1280" s="1">
        <v>201850000</v>
      </c>
      <c r="AB1280" s="1">
        <v>34</v>
      </c>
    </row>
    <row r="1281" spans="1:28" x14ac:dyDescent="0.15">
      <c r="A1281" s="1">
        <v>3445</v>
      </c>
      <c r="B1281" s="1" t="s">
        <v>7159</v>
      </c>
      <c r="L1281" s="1" t="s">
        <v>2002</v>
      </c>
      <c r="N1281" s="1" t="s">
        <v>1840</v>
      </c>
      <c r="P1281" s="1" t="s">
        <v>5344</v>
      </c>
      <c r="Q1281" s="3">
        <v>1</v>
      </c>
      <c r="S1281" s="23" t="s">
        <v>5949</v>
      </c>
      <c r="T1281" s="23" t="s">
        <v>4931</v>
      </c>
      <c r="U1281" s="3">
        <v>34</v>
      </c>
      <c r="W1281" s="45" t="str">
        <f>HYPERLINK("http://ictvonline.org/taxonomy/p/taxonomy-history?taxnode_id=201852804","ICTVonline=201852804")</f>
        <v>ICTVonline=201852804</v>
      </c>
      <c r="AA1281" s="1">
        <v>201850000</v>
      </c>
      <c r="AB1281" s="1">
        <v>34</v>
      </c>
    </row>
    <row r="1282" spans="1:28" x14ac:dyDescent="0.15">
      <c r="A1282" s="1">
        <v>3449</v>
      </c>
      <c r="B1282" s="1" t="s">
        <v>7159</v>
      </c>
      <c r="L1282" s="1" t="s">
        <v>2002</v>
      </c>
      <c r="N1282" s="1" t="s">
        <v>2006</v>
      </c>
      <c r="P1282" s="1" t="s">
        <v>2007</v>
      </c>
      <c r="Q1282" s="3">
        <v>1</v>
      </c>
      <c r="S1282" s="23" t="s">
        <v>5949</v>
      </c>
      <c r="T1282" s="23" t="s">
        <v>4931</v>
      </c>
      <c r="U1282" s="3">
        <v>34</v>
      </c>
      <c r="W1282" s="45" t="str">
        <f>HYPERLINK("http://ictvonline.org/taxonomy/p/taxonomy-history?taxnode_id=201852806","ICTVonline=201852806")</f>
        <v>ICTVonline=201852806</v>
      </c>
      <c r="AA1282" s="1">
        <v>201850000</v>
      </c>
      <c r="AB1282" s="1">
        <v>34</v>
      </c>
    </row>
    <row r="1283" spans="1:28" x14ac:dyDescent="0.15">
      <c r="A1283" s="1">
        <v>3453</v>
      </c>
      <c r="B1283" s="1" t="s">
        <v>7159</v>
      </c>
      <c r="L1283" s="1" t="s">
        <v>2002</v>
      </c>
      <c r="N1283" s="1" t="s">
        <v>7000</v>
      </c>
      <c r="P1283" s="1" t="s">
        <v>7001</v>
      </c>
      <c r="Q1283" s="3">
        <v>1</v>
      </c>
      <c r="S1283" s="23" t="s">
        <v>5949</v>
      </c>
      <c r="T1283" s="23" t="s">
        <v>4929</v>
      </c>
      <c r="U1283" s="3">
        <v>34</v>
      </c>
      <c r="V1283" s="3" t="s">
        <v>6995</v>
      </c>
      <c r="W1283" s="45" t="str">
        <f>HYPERLINK("http://ictvonline.org/taxonomy/p/taxonomy-history?taxnode_id=201856501","ICTVonline=201856501")</f>
        <v>ICTVonline=201856501</v>
      </c>
      <c r="AA1283" s="1">
        <v>201850000</v>
      </c>
      <c r="AB1283" s="1">
        <v>34</v>
      </c>
    </row>
    <row r="1284" spans="1:28" x14ac:dyDescent="0.15">
      <c r="A1284" s="1">
        <v>3457</v>
      </c>
      <c r="B1284" s="1" t="s">
        <v>7159</v>
      </c>
      <c r="L1284" s="1" t="s">
        <v>2002</v>
      </c>
      <c r="N1284" s="1" t="s">
        <v>7002</v>
      </c>
      <c r="P1284" s="1" t="s">
        <v>7003</v>
      </c>
      <c r="Q1284" s="3">
        <v>1</v>
      </c>
      <c r="S1284" s="23" t="s">
        <v>5949</v>
      </c>
      <c r="T1284" s="23" t="s">
        <v>4929</v>
      </c>
      <c r="U1284" s="3">
        <v>34</v>
      </c>
      <c r="V1284" s="3" t="s">
        <v>6995</v>
      </c>
      <c r="W1284" s="45" t="str">
        <f>HYPERLINK("http://ictvonline.org/taxonomy/p/taxonomy-history?taxnode_id=201856503","ICTVonline=201856503")</f>
        <v>ICTVonline=201856503</v>
      </c>
      <c r="AA1284" s="1">
        <v>201850000</v>
      </c>
      <c r="AB1284" s="1">
        <v>34</v>
      </c>
    </row>
    <row r="1285" spans="1:28" x14ac:dyDescent="0.15">
      <c r="A1285" s="1">
        <v>3461</v>
      </c>
      <c r="B1285" s="1" t="s">
        <v>7159</v>
      </c>
      <c r="L1285" s="1" t="s">
        <v>2002</v>
      </c>
      <c r="N1285" s="1" t="s">
        <v>2008</v>
      </c>
      <c r="P1285" s="1" t="s">
        <v>2009</v>
      </c>
      <c r="Q1285" s="3">
        <v>1</v>
      </c>
      <c r="S1285" s="23" t="s">
        <v>5949</v>
      </c>
      <c r="T1285" s="23" t="s">
        <v>4931</v>
      </c>
      <c r="U1285" s="3">
        <v>34</v>
      </c>
      <c r="W1285" s="45" t="str">
        <f>HYPERLINK("http://ictvonline.org/taxonomy/p/taxonomy-history?taxnode_id=201852808","ICTVonline=201852808")</f>
        <v>ICTVonline=201852808</v>
      </c>
      <c r="AA1285" s="1">
        <v>201850000</v>
      </c>
      <c r="AB1285" s="1">
        <v>34</v>
      </c>
    </row>
    <row r="1286" spans="1:28" x14ac:dyDescent="0.15">
      <c r="A1286" s="1">
        <v>3465</v>
      </c>
      <c r="B1286" s="1" t="s">
        <v>7159</v>
      </c>
      <c r="L1286" s="1" t="s">
        <v>2002</v>
      </c>
      <c r="N1286" s="1" t="s">
        <v>7004</v>
      </c>
      <c r="P1286" s="1" t="s">
        <v>7005</v>
      </c>
      <c r="Q1286" s="3">
        <v>1</v>
      </c>
      <c r="S1286" s="23" t="s">
        <v>5949</v>
      </c>
      <c r="T1286" s="23" t="s">
        <v>4929</v>
      </c>
      <c r="U1286" s="3">
        <v>34</v>
      </c>
      <c r="V1286" s="3" t="s">
        <v>6995</v>
      </c>
      <c r="W1286" s="45" t="str">
        <f>HYPERLINK("http://ictvonline.org/taxonomy/p/taxonomy-history?taxnode_id=201856505","ICTVonline=201856505")</f>
        <v>ICTVonline=201856505</v>
      </c>
      <c r="AA1286" s="1">
        <v>201850000</v>
      </c>
      <c r="AB1286" s="1">
        <v>34</v>
      </c>
    </row>
    <row r="1287" spans="1:28" x14ac:dyDescent="0.15">
      <c r="A1287" s="1">
        <v>3469</v>
      </c>
      <c r="B1287" s="1" t="s">
        <v>7159</v>
      </c>
      <c r="L1287" s="1" t="s">
        <v>2002</v>
      </c>
      <c r="N1287" s="1" t="s">
        <v>2010</v>
      </c>
      <c r="P1287" s="1" t="s">
        <v>2011</v>
      </c>
      <c r="Q1287" s="3">
        <v>0</v>
      </c>
      <c r="S1287" s="23" t="s">
        <v>5949</v>
      </c>
      <c r="T1287" s="23" t="s">
        <v>4931</v>
      </c>
      <c r="U1287" s="3">
        <v>34</v>
      </c>
      <c r="W1287" s="45" t="str">
        <f>HYPERLINK("http://ictvonline.org/taxonomy/p/taxonomy-history?taxnode_id=201852810","ICTVonline=201852810")</f>
        <v>ICTVonline=201852810</v>
      </c>
      <c r="AA1287" s="1">
        <v>201850000</v>
      </c>
      <c r="AB1287" s="1">
        <v>34</v>
      </c>
    </row>
    <row r="1288" spans="1:28" x14ac:dyDescent="0.15">
      <c r="A1288" s="1">
        <v>3471</v>
      </c>
      <c r="B1288" s="1" t="s">
        <v>7159</v>
      </c>
      <c r="L1288" s="1" t="s">
        <v>2002</v>
      </c>
      <c r="N1288" s="1" t="s">
        <v>2010</v>
      </c>
      <c r="P1288" s="1" t="s">
        <v>2012</v>
      </c>
      <c r="Q1288" s="3">
        <v>1</v>
      </c>
      <c r="S1288" s="23" t="s">
        <v>5949</v>
      </c>
      <c r="T1288" s="23" t="s">
        <v>4931</v>
      </c>
      <c r="U1288" s="3">
        <v>34</v>
      </c>
      <c r="W1288" s="45" t="str">
        <f>HYPERLINK("http://ictvonline.org/taxonomy/p/taxonomy-history?taxnode_id=201852811","ICTVonline=201852811")</f>
        <v>ICTVonline=201852811</v>
      </c>
      <c r="AA1288" s="1">
        <v>201850000</v>
      </c>
      <c r="AB1288" s="1">
        <v>34</v>
      </c>
    </row>
    <row r="1289" spans="1:28" x14ac:dyDescent="0.15">
      <c r="A1289" s="1">
        <v>3477</v>
      </c>
      <c r="B1289" s="1" t="s">
        <v>7159</v>
      </c>
      <c r="L1289" s="1" t="s">
        <v>73</v>
      </c>
      <c r="N1289" s="1" t="s">
        <v>74</v>
      </c>
      <c r="P1289" s="1" t="s">
        <v>1571</v>
      </c>
      <c r="Q1289" s="3">
        <v>1</v>
      </c>
      <c r="S1289" s="23" t="s">
        <v>5949</v>
      </c>
      <c r="T1289" s="23" t="s">
        <v>4931</v>
      </c>
      <c r="U1289" s="3">
        <v>34</v>
      </c>
      <c r="W1289" s="45" t="str">
        <f>HYPERLINK("http://ictvonline.org/taxonomy/p/taxonomy-history?taxnode_id=201852815","ICTVonline=201852815")</f>
        <v>ICTVonline=201852815</v>
      </c>
      <c r="AA1289" s="1">
        <v>201850000</v>
      </c>
      <c r="AB1289" s="1">
        <v>34</v>
      </c>
    </row>
    <row r="1290" spans="1:28" x14ac:dyDescent="0.15">
      <c r="A1290" s="1">
        <v>3483</v>
      </c>
      <c r="B1290" s="1" t="s">
        <v>7159</v>
      </c>
      <c r="L1290" s="1" t="s">
        <v>757</v>
      </c>
      <c r="N1290" s="1" t="s">
        <v>7006</v>
      </c>
      <c r="P1290" s="1" t="s">
        <v>2222</v>
      </c>
      <c r="Q1290" s="3">
        <v>0</v>
      </c>
      <c r="S1290" s="23" t="s">
        <v>5949</v>
      </c>
      <c r="T1290" s="23" t="s">
        <v>4931</v>
      </c>
      <c r="U1290" s="3">
        <v>34</v>
      </c>
      <c r="W1290" s="45" t="str">
        <f>HYPERLINK("http://ictvonline.org/taxonomy/p/taxonomy-history?taxnode_id=201852891","ICTVonline=201852891")</f>
        <v>ICTVonline=201852891</v>
      </c>
      <c r="AA1290" s="1">
        <v>201850000</v>
      </c>
      <c r="AB1290" s="1">
        <v>34</v>
      </c>
    </row>
    <row r="1291" spans="1:28" x14ac:dyDescent="0.15">
      <c r="A1291" s="1">
        <v>3485</v>
      </c>
      <c r="B1291" s="1" t="s">
        <v>7159</v>
      </c>
      <c r="L1291" s="1" t="s">
        <v>757</v>
      </c>
      <c r="N1291" s="1" t="s">
        <v>7006</v>
      </c>
      <c r="P1291" s="1" t="s">
        <v>7007</v>
      </c>
      <c r="Q1291" s="3">
        <v>0</v>
      </c>
      <c r="S1291" s="23" t="s">
        <v>5949</v>
      </c>
      <c r="T1291" s="23" t="s">
        <v>4929</v>
      </c>
      <c r="U1291" s="3">
        <v>34</v>
      </c>
      <c r="V1291" s="3" t="s">
        <v>7008</v>
      </c>
      <c r="W1291" s="45" t="str">
        <f>HYPERLINK("http://ictvonline.org/taxonomy/p/taxonomy-history?taxnode_id=201856297","ICTVonline=201856297")</f>
        <v>ICTVonline=201856297</v>
      </c>
      <c r="AA1291" s="1">
        <v>201850000</v>
      </c>
      <c r="AB1291" s="1">
        <v>34</v>
      </c>
    </row>
    <row r="1292" spans="1:28" x14ac:dyDescent="0.15">
      <c r="A1292" s="1">
        <v>3487</v>
      </c>
      <c r="B1292" s="1" t="s">
        <v>7159</v>
      </c>
      <c r="L1292" s="1" t="s">
        <v>757</v>
      </c>
      <c r="N1292" s="1" t="s">
        <v>7006</v>
      </c>
      <c r="P1292" s="1" t="s">
        <v>2223</v>
      </c>
      <c r="Q1292" s="3">
        <v>0</v>
      </c>
      <c r="S1292" s="23" t="s">
        <v>5949</v>
      </c>
      <c r="T1292" s="23" t="s">
        <v>4931</v>
      </c>
      <c r="U1292" s="3">
        <v>34</v>
      </c>
      <c r="W1292" s="45" t="str">
        <f>HYPERLINK("http://ictvonline.org/taxonomy/p/taxonomy-history?taxnode_id=201852892","ICTVonline=201852892")</f>
        <v>ICTVonline=201852892</v>
      </c>
      <c r="AA1292" s="1">
        <v>201850000</v>
      </c>
      <c r="AB1292" s="1">
        <v>34</v>
      </c>
    </row>
    <row r="1293" spans="1:28" x14ac:dyDescent="0.15">
      <c r="A1293" s="1">
        <v>3489</v>
      </c>
      <c r="B1293" s="1" t="s">
        <v>7159</v>
      </c>
      <c r="L1293" s="1" t="s">
        <v>757</v>
      </c>
      <c r="N1293" s="1" t="s">
        <v>7006</v>
      </c>
      <c r="P1293" s="1" t="s">
        <v>7009</v>
      </c>
      <c r="Q1293" s="3">
        <v>0</v>
      </c>
      <c r="S1293" s="23" t="s">
        <v>5949</v>
      </c>
      <c r="T1293" s="23" t="s">
        <v>4929</v>
      </c>
      <c r="U1293" s="3">
        <v>34</v>
      </c>
      <c r="V1293" s="3" t="s">
        <v>7008</v>
      </c>
      <c r="W1293" s="45" t="str">
        <f>HYPERLINK("http://ictvonline.org/taxonomy/p/taxonomy-history?taxnode_id=201856298","ICTVonline=201856298")</f>
        <v>ICTVonline=201856298</v>
      </c>
      <c r="AA1293" s="1">
        <v>201850000</v>
      </c>
      <c r="AB1293" s="1">
        <v>34</v>
      </c>
    </row>
    <row r="1294" spans="1:28" x14ac:dyDescent="0.15">
      <c r="A1294" s="1">
        <v>3491</v>
      </c>
      <c r="B1294" s="1" t="s">
        <v>7159</v>
      </c>
      <c r="L1294" s="1" t="s">
        <v>757</v>
      </c>
      <c r="N1294" s="1" t="s">
        <v>7006</v>
      </c>
      <c r="P1294" s="1" t="s">
        <v>7010</v>
      </c>
      <c r="Q1294" s="3">
        <v>0</v>
      </c>
      <c r="S1294" s="23" t="s">
        <v>5949</v>
      </c>
      <c r="T1294" s="23" t="s">
        <v>4929</v>
      </c>
      <c r="U1294" s="3">
        <v>34</v>
      </c>
      <c r="V1294" s="3" t="s">
        <v>7008</v>
      </c>
      <c r="W1294" s="45" t="str">
        <f>HYPERLINK("http://ictvonline.org/taxonomy/p/taxonomy-history?taxnode_id=201856299","ICTVonline=201856299")</f>
        <v>ICTVonline=201856299</v>
      </c>
      <c r="AA1294" s="1">
        <v>201850000</v>
      </c>
      <c r="AB1294" s="1">
        <v>34</v>
      </c>
    </row>
    <row r="1295" spans="1:28" x14ac:dyDescent="0.15">
      <c r="A1295" s="1">
        <v>3493</v>
      </c>
      <c r="B1295" s="1" t="s">
        <v>7159</v>
      </c>
      <c r="L1295" s="1" t="s">
        <v>757</v>
      </c>
      <c r="N1295" s="1" t="s">
        <v>7006</v>
      </c>
      <c r="P1295" s="1" t="s">
        <v>2224</v>
      </c>
      <c r="Q1295" s="3">
        <v>0</v>
      </c>
      <c r="S1295" s="23" t="s">
        <v>5949</v>
      </c>
      <c r="T1295" s="23" t="s">
        <v>4931</v>
      </c>
      <c r="U1295" s="3">
        <v>34</v>
      </c>
      <c r="W1295" s="45" t="str">
        <f>HYPERLINK("http://ictvonline.org/taxonomy/p/taxonomy-history?taxnode_id=201852893","ICTVonline=201852893")</f>
        <v>ICTVonline=201852893</v>
      </c>
      <c r="AA1295" s="1">
        <v>201850000</v>
      </c>
      <c r="AB1295" s="1">
        <v>34</v>
      </c>
    </row>
    <row r="1296" spans="1:28" x14ac:dyDescent="0.15">
      <c r="A1296" s="1">
        <v>3495</v>
      </c>
      <c r="B1296" s="1" t="s">
        <v>7159</v>
      </c>
      <c r="L1296" s="1" t="s">
        <v>757</v>
      </c>
      <c r="N1296" s="1" t="s">
        <v>7006</v>
      </c>
      <c r="P1296" s="1" t="s">
        <v>2225</v>
      </c>
      <c r="Q1296" s="3">
        <v>0</v>
      </c>
      <c r="S1296" s="23" t="s">
        <v>5949</v>
      </c>
      <c r="T1296" s="23" t="s">
        <v>4931</v>
      </c>
      <c r="U1296" s="3">
        <v>34</v>
      </c>
      <c r="W1296" s="45" t="str">
        <f>HYPERLINK("http://ictvonline.org/taxonomy/p/taxonomy-history?taxnode_id=201852894","ICTVonline=201852894")</f>
        <v>ICTVonline=201852894</v>
      </c>
      <c r="AA1296" s="1">
        <v>201850000</v>
      </c>
      <c r="AB1296" s="1">
        <v>34</v>
      </c>
    </row>
    <row r="1297" spans="1:28" x14ac:dyDescent="0.15">
      <c r="A1297" s="1">
        <v>3497</v>
      </c>
      <c r="B1297" s="1" t="s">
        <v>7159</v>
      </c>
      <c r="L1297" s="1" t="s">
        <v>757</v>
      </c>
      <c r="N1297" s="1" t="s">
        <v>7006</v>
      </c>
      <c r="P1297" s="1" t="s">
        <v>7011</v>
      </c>
      <c r="Q1297" s="3">
        <v>0</v>
      </c>
      <c r="S1297" s="23" t="s">
        <v>5949</v>
      </c>
      <c r="W1297" s="45" t="str">
        <f>HYPERLINK("http://ictvonline.org/taxonomy/p/taxonomy-history?taxnode_id=201852895","ICTVonline=201852895")</f>
        <v>ICTVonline=201852895</v>
      </c>
      <c r="AA1297" s="1">
        <v>201850000</v>
      </c>
      <c r="AB1297" s="1">
        <v>34</v>
      </c>
    </row>
    <row r="1298" spans="1:28" x14ac:dyDescent="0.15">
      <c r="A1298" s="1">
        <v>3499</v>
      </c>
      <c r="B1298" s="1" t="s">
        <v>7159</v>
      </c>
      <c r="L1298" s="1" t="s">
        <v>757</v>
      </c>
      <c r="N1298" s="1" t="s">
        <v>7006</v>
      </c>
      <c r="P1298" s="1" t="s">
        <v>7012</v>
      </c>
      <c r="Q1298" s="3">
        <v>0</v>
      </c>
      <c r="S1298" s="23" t="s">
        <v>5949</v>
      </c>
      <c r="T1298" s="23" t="s">
        <v>4929</v>
      </c>
      <c r="U1298" s="3">
        <v>34</v>
      </c>
      <c r="V1298" s="3" t="s">
        <v>7008</v>
      </c>
      <c r="W1298" s="45" t="str">
        <f>HYPERLINK("http://ictvonline.org/taxonomy/p/taxonomy-history?taxnode_id=201856300","ICTVonline=201856300")</f>
        <v>ICTVonline=201856300</v>
      </c>
      <c r="AA1298" s="1">
        <v>201850000</v>
      </c>
      <c r="AB1298" s="1">
        <v>34</v>
      </c>
    </row>
    <row r="1299" spans="1:28" x14ac:dyDescent="0.15">
      <c r="A1299" s="1">
        <v>3501</v>
      </c>
      <c r="B1299" s="1" t="s">
        <v>7159</v>
      </c>
      <c r="L1299" s="1" t="s">
        <v>757</v>
      </c>
      <c r="N1299" s="1" t="s">
        <v>7006</v>
      </c>
      <c r="P1299" s="1" t="s">
        <v>7013</v>
      </c>
      <c r="Q1299" s="3">
        <v>0</v>
      </c>
      <c r="S1299" s="23" t="s">
        <v>5949</v>
      </c>
      <c r="T1299" s="23" t="s">
        <v>4929</v>
      </c>
      <c r="U1299" s="3">
        <v>34</v>
      </c>
      <c r="V1299" s="3" t="s">
        <v>7008</v>
      </c>
      <c r="W1299" s="45" t="str">
        <f>HYPERLINK("http://ictvonline.org/taxonomy/p/taxonomy-history?taxnode_id=201856301","ICTVonline=201856301")</f>
        <v>ICTVonline=201856301</v>
      </c>
      <c r="AA1299" s="1">
        <v>201850000</v>
      </c>
      <c r="AB1299" s="1">
        <v>34</v>
      </c>
    </row>
    <row r="1300" spans="1:28" x14ac:dyDescent="0.15">
      <c r="A1300" s="1">
        <v>3503</v>
      </c>
      <c r="B1300" s="1" t="s">
        <v>7159</v>
      </c>
      <c r="L1300" s="1" t="s">
        <v>757</v>
      </c>
      <c r="N1300" s="1" t="s">
        <v>7006</v>
      </c>
      <c r="P1300" s="1" t="s">
        <v>758</v>
      </c>
      <c r="Q1300" s="3">
        <v>0</v>
      </c>
      <c r="S1300" s="23" t="s">
        <v>5949</v>
      </c>
      <c r="T1300" s="23" t="s">
        <v>4931</v>
      </c>
      <c r="U1300" s="3">
        <v>34</v>
      </c>
      <c r="W1300" s="45" t="str">
        <f>HYPERLINK("http://ictvonline.org/taxonomy/p/taxonomy-history?taxnode_id=201852896","ICTVonline=201852896")</f>
        <v>ICTVonline=201852896</v>
      </c>
      <c r="AA1300" s="1">
        <v>201850000</v>
      </c>
      <c r="AB1300" s="1">
        <v>34</v>
      </c>
    </row>
    <row r="1301" spans="1:28" x14ac:dyDescent="0.15">
      <c r="A1301" s="1">
        <v>3505</v>
      </c>
      <c r="B1301" s="1" t="s">
        <v>7159</v>
      </c>
      <c r="L1301" s="1" t="s">
        <v>757</v>
      </c>
      <c r="N1301" s="1" t="s">
        <v>7006</v>
      </c>
      <c r="P1301" s="1" t="s">
        <v>759</v>
      </c>
      <c r="Q1301" s="3">
        <v>1</v>
      </c>
      <c r="S1301" s="23" t="s">
        <v>5949</v>
      </c>
      <c r="T1301" s="23" t="s">
        <v>4931</v>
      </c>
      <c r="U1301" s="3">
        <v>34</v>
      </c>
      <c r="W1301" s="45" t="str">
        <f>HYPERLINK("http://ictvonline.org/taxonomy/p/taxonomy-history?taxnode_id=201852897","ICTVonline=201852897")</f>
        <v>ICTVonline=201852897</v>
      </c>
      <c r="AA1301" s="1">
        <v>201850000</v>
      </c>
      <c r="AB1301" s="1">
        <v>34</v>
      </c>
    </row>
    <row r="1302" spans="1:28" x14ac:dyDescent="0.15">
      <c r="A1302" s="1">
        <v>3507</v>
      </c>
      <c r="B1302" s="1" t="s">
        <v>7159</v>
      </c>
      <c r="L1302" s="1" t="s">
        <v>757</v>
      </c>
      <c r="N1302" s="1" t="s">
        <v>7006</v>
      </c>
      <c r="P1302" s="1" t="s">
        <v>5345</v>
      </c>
      <c r="Q1302" s="3">
        <v>0</v>
      </c>
      <c r="S1302" s="23" t="s">
        <v>5949</v>
      </c>
      <c r="T1302" s="23" t="s">
        <v>4931</v>
      </c>
      <c r="U1302" s="3">
        <v>34</v>
      </c>
      <c r="W1302" s="45" t="str">
        <f>HYPERLINK("http://ictvonline.org/taxonomy/p/taxonomy-history?taxnode_id=201852898","ICTVonline=201852898")</f>
        <v>ICTVonline=201852898</v>
      </c>
      <c r="AA1302" s="1">
        <v>201850000</v>
      </c>
      <c r="AB1302" s="1">
        <v>34</v>
      </c>
    </row>
    <row r="1303" spans="1:28" x14ac:dyDescent="0.15">
      <c r="A1303" s="1">
        <v>3509</v>
      </c>
      <c r="B1303" s="1" t="s">
        <v>7159</v>
      </c>
      <c r="L1303" s="1" t="s">
        <v>757</v>
      </c>
      <c r="N1303" s="1" t="s">
        <v>7006</v>
      </c>
      <c r="P1303" s="1" t="s">
        <v>7014</v>
      </c>
      <c r="Q1303" s="3">
        <v>0</v>
      </c>
      <c r="S1303" s="23" t="s">
        <v>5949</v>
      </c>
      <c r="T1303" s="23" t="s">
        <v>4929</v>
      </c>
      <c r="U1303" s="3">
        <v>34</v>
      </c>
      <c r="V1303" s="3" t="s">
        <v>7008</v>
      </c>
      <c r="W1303" s="45" t="str">
        <f>HYPERLINK("http://ictvonline.org/taxonomy/p/taxonomy-history?taxnode_id=201856302","ICTVonline=201856302")</f>
        <v>ICTVonline=201856302</v>
      </c>
      <c r="AA1303" s="1">
        <v>201850000</v>
      </c>
      <c r="AB1303" s="1">
        <v>34</v>
      </c>
    </row>
    <row r="1304" spans="1:28" x14ac:dyDescent="0.15">
      <c r="A1304" s="1">
        <v>3511</v>
      </c>
      <c r="B1304" s="1" t="s">
        <v>7159</v>
      </c>
      <c r="L1304" s="1" t="s">
        <v>757</v>
      </c>
      <c r="N1304" s="1" t="s">
        <v>7006</v>
      </c>
      <c r="P1304" s="1" t="s">
        <v>7015</v>
      </c>
      <c r="Q1304" s="3">
        <v>0</v>
      </c>
      <c r="S1304" s="23" t="s">
        <v>5949</v>
      </c>
      <c r="T1304" s="23" t="s">
        <v>4929</v>
      </c>
      <c r="U1304" s="3">
        <v>34</v>
      </c>
      <c r="V1304" s="3" t="s">
        <v>7008</v>
      </c>
      <c r="W1304" s="45" t="str">
        <f>HYPERLINK("http://ictvonline.org/taxonomy/p/taxonomy-history?taxnode_id=201856303","ICTVonline=201856303")</f>
        <v>ICTVonline=201856303</v>
      </c>
      <c r="AA1304" s="1">
        <v>201850000</v>
      </c>
      <c r="AB1304" s="1">
        <v>34</v>
      </c>
    </row>
    <row r="1305" spans="1:28" x14ac:dyDescent="0.15">
      <c r="A1305" s="1">
        <v>3513</v>
      </c>
      <c r="B1305" s="1" t="s">
        <v>7159</v>
      </c>
      <c r="L1305" s="1" t="s">
        <v>757</v>
      </c>
      <c r="N1305" s="1" t="s">
        <v>7006</v>
      </c>
      <c r="P1305" s="1" t="s">
        <v>7016</v>
      </c>
      <c r="Q1305" s="3">
        <v>0</v>
      </c>
      <c r="S1305" s="23" t="s">
        <v>5949</v>
      </c>
      <c r="T1305" s="23" t="s">
        <v>4929</v>
      </c>
      <c r="U1305" s="3">
        <v>34</v>
      </c>
      <c r="V1305" s="3" t="s">
        <v>7008</v>
      </c>
      <c r="W1305" s="45" t="str">
        <f>HYPERLINK("http://ictvonline.org/taxonomy/p/taxonomy-history?taxnode_id=201856304","ICTVonline=201856304")</f>
        <v>ICTVonline=201856304</v>
      </c>
      <c r="AA1305" s="1">
        <v>201850000</v>
      </c>
      <c r="AB1305" s="1">
        <v>34</v>
      </c>
    </row>
    <row r="1306" spans="1:28" x14ac:dyDescent="0.15">
      <c r="A1306" s="1">
        <v>3515</v>
      </c>
      <c r="B1306" s="1" t="s">
        <v>7159</v>
      </c>
      <c r="L1306" s="1" t="s">
        <v>757</v>
      </c>
      <c r="N1306" s="1" t="s">
        <v>7006</v>
      </c>
      <c r="P1306" s="1" t="s">
        <v>2226</v>
      </c>
      <c r="Q1306" s="3">
        <v>0</v>
      </c>
      <c r="S1306" s="23" t="s">
        <v>5949</v>
      </c>
      <c r="T1306" s="23" t="s">
        <v>4931</v>
      </c>
      <c r="U1306" s="3">
        <v>34</v>
      </c>
      <c r="W1306" s="45" t="str">
        <f>HYPERLINK("http://ictvonline.org/taxonomy/p/taxonomy-history?taxnode_id=201852899","ICTVonline=201852899")</f>
        <v>ICTVonline=201852899</v>
      </c>
      <c r="AA1306" s="1">
        <v>201850000</v>
      </c>
      <c r="AB1306" s="1">
        <v>34</v>
      </c>
    </row>
    <row r="1307" spans="1:28" x14ac:dyDescent="0.15">
      <c r="A1307" s="1">
        <v>3519</v>
      </c>
      <c r="B1307" s="1" t="s">
        <v>7159</v>
      </c>
      <c r="L1307" s="1" t="s">
        <v>757</v>
      </c>
      <c r="N1307" s="1" t="s">
        <v>7017</v>
      </c>
      <c r="P1307" s="1" t="s">
        <v>7018</v>
      </c>
      <c r="Q1307" s="3">
        <v>0</v>
      </c>
      <c r="S1307" s="23" t="s">
        <v>5949</v>
      </c>
      <c r="T1307" s="23" t="s">
        <v>4929</v>
      </c>
      <c r="U1307" s="3">
        <v>34</v>
      </c>
      <c r="V1307" s="3" t="s">
        <v>7008</v>
      </c>
      <c r="W1307" s="45" t="str">
        <f>HYPERLINK("http://ictvonline.org/taxonomy/p/taxonomy-history?taxnode_id=201856305","ICTVonline=201856305")</f>
        <v>ICTVonline=201856305</v>
      </c>
      <c r="AA1307" s="1">
        <v>201850000</v>
      </c>
      <c r="AB1307" s="1">
        <v>34</v>
      </c>
    </row>
    <row r="1308" spans="1:28" x14ac:dyDescent="0.15">
      <c r="A1308" s="1">
        <v>3521</v>
      </c>
      <c r="B1308" s="1" t="s">
        <v>7159</v>
      </c>
      <c r="L1308" s="1" t="s">
        <v>757</v>
      </c>
      <c r="N1308" s="1" t="s">
        <v>7017</v>
      </c>
      <c r="P1308" s="1" t="s">
        <v>7019</v>
      </c>
      <c r="Q1308" s="3">
        <v>1</v>
      </c>
      <c r="S1308" s="23" t="s">
        <v>5949</v>
      </c>
      <c r="T1308" s="23" t="s">
        <v>4929</v>
      </c>
      <c r="U1308" s="3">
        <v>34</v>
      </c>
      <c r="V1308" s="3" t="s">
        <v>7008</v>
      </c>
      <c r="W1308" s="45" t="str">
        <f>HYPERLINK("http://ictvonline.org/taxonomy/p/taxonomy-history?taxnode_id=201856306","ICTVonline=201856306")</f>
        <v>ICTVonline=201856306</v>
      </c>
      <c r="AA1308" s="1">
        <v>201850000</v>
      </c>
      <c r="AB1308" s="1">
        <v>34</v>
      </c>
    </row>
    <row r="1309" spans="1:28" x14ac:dyDescent="0.15">
      <c r="A1309" s="1">
        <v>3523</v>
      </c>
      <c r="B1309" s="1" t="s">
        <v>7159</v>
      </c>
      <c r="L1309" s="1" t="s">
        <v>757</v>
      </c>
      <c r="N1309" s="1" t="s">
        <v>7017</v>
      </c>
      <c r="P1309" s="1" t="s">
        <v>7020</v>
      </c>
      <c r="Q1309" s="3">
        <v>0</v>
      </c>
      <c r="S1309" s="23" t="s">
        <v>5949</v>
      </c>
      <c r="T1309" s="23" t="s">
        <v>4929</v>
      </c>
      <c r="U1309" s="3">
        <v>34</v>
      </c>
      <c r="V1309" s="3" t="s">
        <v>7008</v>
      </c>
      <c r="W1309" s="45" t="str">
        <f>HYPERLINK("http://ictvonline.org/taxonomy/p/taxonomy-history?taxnode_id=201856307","ICTVonline=201856307")</f>
        <v>ICTVonline=201856307</v>
      </c>
      <c r="AA1309" s="1">
        <v>201850000</v>
      </c>
      <c r="AB1309" s="1">
        <v>34</v>
      </c>
    </row>
    <row r="1310" spans="1:28" x14ac:dyDescent="0.15">
      <c r="A1310" s="1">
        <v>3525</v>
      </c>
      <c r="B1310" s="1" t="s">
        <v>7159</v>
      </c>
      <c r="L1310" s="1" t="s">
        <v>757</v>
      </c>
      <c r="N1310" s="1" t="s">
        <v>7017</v>
      </c>
      <c r="P1310" s="1" t="s">
        <v>7021</v>
      </c>
      <c r="Q1310" s="3">
        <v>0</v>
      </c>
      <c r="S1310" s="23" t="s">
        <v>5949</v>
      </c>
      <c r="T1310" s="23" t="s">
        <v>4929</v>
      </c>
      <c r="U1310" s="3">
        <v>34</v>
      </c>
      <c r="V1310" s="3" t="s">
        <v>7008</v>
      </c>
      <c r="W1310" s="45" t="str">
        <f>HYPERLINK("http://ictvonline.org/taxonomy/p/taxonomy-history?taxnode_id=201856308","ICTVonline=201856308")</f>
        <v>ICTVonline=201856308</v>
      </c>
      <c r="AA1310" s="1">
        <v>201850000</v>
      </c>
      <c r="AB1310" s="1">
        <v>34</v>
      </c>
    </row>
    <row r="1311" spans="1:28" x14ac:dyDescent="0.15">
      <c r="A1311" s="1">
        <v>3527</v>
      </c>
      <c r="B1311" s="1" t="s">
        <v>7159</v>
      </c>
      <c r="L1311" s="1" t="s">
        <v>757</v>
      </c>
      <c r="N1311" s="1" t="s">
        <v>7017</v>
      </c>
      <c r="P1311" s="1" t="s">
        <v>7022</v>
      </c>
      <c r="Q1311" s="3">
        <v>0</v>
      </c>
      <c r="S1311" s="23" t="s">
        <v>5949</v>
      </c>
      <c r="T1311" s="23" t="s">
        <v>4929</v>
      </c>
      <c r="U1311" s="3">
        <v>34</v>
      </c>
      <c r="V1311" s="3" t="s">
        <v>7008</v>
      </c>
      <c r="W1311" s="45" t="str">
        <f>HYPERLINK("http://ictvonline.org/taxonomy/p/taxonomy-history?taxnode_id=201856309","ICTVonline=201856309")</f>
        <v>ICTVonline=201856309</v>
      </c>
      <c r="AA1311" s="1">
        <v>201850000</v>
      </c>
      <c r="AB1311" s="1">
        <v>34</v>
      </c>
    </row>
    <row r="1312" spans="1:28" x14ac:dyDescent="0.15">
      <c r="A1312" s="1">
        <v>3529</v>
      </c>
      <c r="B1312" s="1" t="s">
        <v>7159</v>
      </c>
      <c r="L1312" s="1" t="s">
        <v>757</v>
      </c>
      <c r="N1312" s="1" t="s">
        <v>7017</v>
      </c>
      <c r="P1312" s="1" t="s">
        <v>7023</v>
      </c>
      <c r="Q1312" s="3">
        <v>0</v>
      </c>
      <c r="S1312" s="23" t="s">
        <v>5949</v>
      </c>
      <c r="T1312" s="23" t="s">
        <v>4929</v>
      </c>
      <c r="U1312" s="3">
        <v>34</v>
      </c>
      <c r="V1312" s="3" t="s">
        <v>7008</v>
      </c>
      <c r="W1312" s="45" t="str">
        <f>HYPERLINK("http://ictvonline.org/taxonomy/p/taxonomy-history?taxnode_id=201856310","ICTVonline=201856310")</f>
        <v>ICTVonline=201856310</v>
      </c>
      <c r="AA1312" s="1">
        <v>201850000</v>
      </c>
      <c r="AB1312" s="1">
        <v>34</v>
      </c>
    </row>
    <row r="1313" spans="1:28" x14ac:dyDescent="0.15">
      <c r="A1313" s="1">
        <v>3531</v>
      </c>
      <c r="B1313" s="1" t="s">
        <v>7159</v>
      </c>
      <c r="L1313" s="1" t="s">
        <v>757</v>
      </c>
      <c r="N1313" s="1" t="s">
        <v>7017</v>
      </c>
      <c r="P1313" s="1" t="s">
        <v>7024</v>
      </c>
      <c r="Q1313" s="3">
        <v>0</v>
      </c>
      <c r="S1313" s="23" t="s">
        <v>5949</v>
      </c>
      <c r="T1313" s="23" t="s">
        <v>4929</v>
      </c>
      <c r="U1313" s="3">
        <v>34</v>
      </c>
      <c r="V1313" s="3" t="s">
        <v>7008</v>
      </c>
      <c r="W1313" s="45" t="str">
        <f>HYPERLINK("http://ictvonline.org/taxonomy/p/taxonomy-history?taxnode_id=201856311","ICTVonline=201856311")</f>
        <v>ICTVonline=201856311</v>
      </c>
      <c r="AA1313" s="1">
        <v>201850000</v>
      </c>
      <c r="AB1313" s="1">
        <v>34</v>
      </c>
    </row>
    <row r="1314" spans="1:28" x14ac:dyDescent="0.15">
      <c r="A1314" s="1">
        <v>3533</v>
      </c>
      <c r="B1314" s="1" t="s">
        <v>7159</v>
      </c>
      <c r="L1314" s="1" t="s">
        <v>757</v>
      </c>
      <c r="N1314" s="1" t="s">
        <v>7017</v>
      </c>
      <c r="P1314" s="1" t="s">
        <v>7025</v>
      </c>
      <c r="Q1314" s="3">
        <v>0</v>
      </c>
      <c r="S1314" s="23" t="s">
        <v>5949</v>
      </c>
      <c r="T1314" s="23" t="s">
        <v>4929</v>
      </c>
      <c r="U1314" s="3">
        <v>34</v>
      </c>
      <c r="V1314" s="3" t="s">
        <v>7008</v>
      </c>
      <c r="W1314" s="45" t="str">
        <f>HYPERLINK("http://ictvonline.org/taxonomy/p/taxonomy-history?taxnode_id=201856312","ICTVonline=201856312")</f>
        <v>ICTVonline=201856312</v>
      </c>
      <c r="AA1314" s="1">
        <v>201850000</v>
      </c>
      <c r="AB1314" s="1">
        <v>34</v>
      </c>
    </row>
    <row r="1315" spans="1:28" x14ac:dyDescent="0.15">
      <c r="A1315" s="1">
        <v>3539</v>
      </c>
      <c r="B1315" s="1" t="s">
        <v>7159</v>
      </c>
      <c r="L1315" s="1" t="s">
        <v>1960</v>
      </c>
      <c r="N1315" s="1" t="s">
        <v>1961</v>
      </c>
      <c r="P1315" s="1" t="s">
        <v>7041</v>
      </c>
      <c r="Q1315" s="3">
        <v>0</v>
      </c>
      <c r="S1315" s="23" t="s">
        <v>5949</v>
      </c>
      <c r="T1315" s="23" t="s">
        <v>4929</v>
      </c>
      <c r="U1315" s="3">
        <v>34</v>
      </c>
      <c r="V1315" s="3" t="s">
        <v>7042</v>
      </c>
      <c r="W1315" s="45" t="str">
        <f>HYPERLINK("http://ictvonline.org/taxonomy/p/taxonomy-history?taxnode_id=201856656","ICTVonline=201856656")</f>
        <v>ICTVonline=201856656</v>
      </c>
      <c r="AA1315" s="1">
        <v>201850000</v>
      </c>
      <c r="AB1315" s="1">
        <v>34</v>
      </c>
    </row>
    <row r="1316" spans="1:28" x14ac:dyDescent="0.15">
      <c r="A1316" s="1">
        <v>3541</v>
      </c>
      <c r="B1316" s="1" t="s">
        <v>7159</v>
      </c>
      <c r="L1316" s="1" t="s">
        <v>1960</v>
      </c>
      <c r="N1316" s="1" t="s">
        <v>1961</v>
      </c>
      <c r="P1316" s="1" t="s">
        <v>3762</v>
      </c>
      <c r="Q1316" s="3">
        <v>0</v>
      </c>
      <c r="S1316" s="23" t="s">
        <v>5949</v>
      </c>
      <c r="T1316" s="23" t="s">
        <v>4931</v>
      </c>
      <c r="U1316" s="3">
        <v>34</v>
      </c>
      <c r="W1316" s="45" t="str">
        <f>HYPERLINK("http://ictvonline.org/taxonomy/p/taxonomy-history?taxnode_id=201852981","ICTVonline=201852981")</f>
        <v>ICTVonline=201852981</v>
      </c>
      <c r="AA1316" s="1">
        <v>201850000</v>
      </c>
      <c r="AB1316" s="1">
        <v>34</v>
      </c>
    </row>
    <row r="1317" spans="1:28" x14ac:dyDescent="0.15">
      <c r="A1317" s="1">
        <v>3543</v>
      </c>
      <c r="B1317" s="1" t="s">
        <v>7159</v>
      </c>
      <c r="L1317" s="1" t="s">
        <v>1960</v>
      </c>
      <c r="N1317" s="1" t="s">
        <v>1961</v>
      </c>
      <c r="P1317" s="1" t="s">
        <v>2056</v>
      </c>
      <c r="Q1317" s="3">
        <v>0</v>
      </c>
      <c r="S1317" s="23" t="s">
        <v>5949</v>
      </c>
      <c r="T1317" s="23" t="s">
        <v>4931</v>
      </c>
      <c r="U1317" s="3">
        <v>34</v>
      </c>
      <c r="W1317" s="45" t="str">
        <f>HYPERLINK("http://ictvonline.org/taxonomy/p/taxonomy-history?taxnode_id=201852982","ICTVonline=201852982")</f>
        <v>ICTVonline=201852982</v>
      </c>
      <c r="AA1317" s="1">
        <v>201850000</v>
      </c>
      <c r="AB1317" s="1">
        <v>34</v>
      </c>
    </row>
    <row r="1318" spans="1:28" x14ac:dyDescent="0.15">
      <c r="A1318" s="1">
        <v>3545</v>
      </c>
      <c r="B1318" s="1" t="s">
        <v>7159</v>
      </c>
      <c r="L1318" s="1" t="s">
        <v>1960</v>
      </c>
      <c r="N1318" s="1" t="s">
        <v>1961</v>
      </c>
      <c r="P1318" s="1" t="s">
        <v>2057</v>
      </c>
      <c r="Q1318" s="3">
        <v>1</v>
      </c>
      <c r="S1318" s="23" t="s">
        <v>5949</v>
      </c>
      <c r="T1318" s="23" t="s">
        <v>4931</v>
      </c>
      <c r="U1318" s="3">
        <v>34</v>
      </c>
      <c r="W1318" s="45" t="str">
        <f>HYPERLINK("http://ictvonline.org/taxonomy/p/taxonomy-history?taxnode_id=201852983","ICTVonline=201852983")</f>
        <v>ICTVonline=201852983</v>
      </c>
      <c r="AA1318" s="1">
        <v>201850000</v>
      </c>
      <c r="AB1318" s="1">
        <v>34</v>
      </c>
    </row>
    <row r="1319" spans="1:28" x14ac:dyDescent="0.15">
      <c r="A1319" s="1">
        <v>3547</v>
      </c>
      <c r="B1319" s="1" t="s">
        <v>7159</v>
      </c>
      <c r="L1319" s="1" t="s">
        <v>1960</v>
      </c>
      <c r="N1319" s="1" t="s">
        <v>1961</v>
      </c>
      <c r="P1319" s="1" t="s">
        <v>2227</v>
      </c>
      <c r="Q1319" s="3">
        <v>0</v>
      </c>
      <c r="S1319" s="23" t="s">
        <v>5949</v>
      </c>
      <c r="T1319" s="23" t="s">
        <v>4931</v>
      </c>
      <c r="U1319" s="3">
        <v>34</v>
      </c>
      <c r="W1319" s="45" t="str">
        <f>HYPERLINK("http://ictvonline.org/taxonomy/p/taxonomy-history?taxnode_id=201852984","ICTVonline=201852984")</f>
        <v>ICTVonline=201852984</v>
      </c>
      <c r="AA1319" s="1">
        <v>201850000</v>
      </c>
      <c r="AB1319" s="1">
        <v>34</v>
      </c>
    </row>
    <row r="1320" spans="1:28" x14ac:dyDescent="0.15">
      <c r="A1320" s="1">
        <v>3549</v>
      </c>
      <c r="B1320" s="1" t="s">
        <v>7159</v>
      </c>
      <c r="L1320" s="1" t="s">
        <v>1960</v>
      </c>
      <c r="N1320" s="1" t="s">
        <v>1961</v>
      </c>
      <c r="P1320" s="1" t="s">
        <v>5350</v>
      </c>
      <c r="Q1320" s="3">
        <v>0</v>
      </c>
      <c r="S1320" s="23" t="s">
        <v>5949</v>
      </c>
      <c r="T1320" s="23" t="s">
        <v>4931</v>
      </c>
      <c r="U1320" s="3">
        <v>34</v>
      </c>
      <c r="W1320" s="45" t="str">
        <f>HYPERLINK("http://ictvonline.org/taxonomy/p/taxonomy-history?taxnode_id=201855771","ICTVonline=201855771")</f>
        <v>ICTVonline=201855771</v>
      </c>
      <c r="AA1320" s="1">
        <v>201850000</v>
      </c>
      <c r="AB1320" s="1">
        <v>34</v>
      </c>
    </row>
    <row r="1321" spans="1:28" x14ac:dyDescent="0.15">
      <c r="A1321" s="1">
        <v>3551</v>
      </c>
      <c r="B1321" s="1" t="s">
        <v>7159</v>
      </c>
      <c r="L1321" s="1" t="s">
        <v>1960</v>
      </c>
      <c r="N1321" s="1" t="s">
        <v>1961</v>
      </c>
      <c r="P1321" s="1" t="s">
        <v>2058</v>
      </c>
      <c r="Q1321" s="3">
        <v>0</v>
      </c>
      <c r="S1321" s="23" t="s">
        <v>5949</v>
      </c>
      <c r="T1321" s="23" t="s">
        <v>4931</v>
      </c>
      <c r="U1321" s="3">
        <v>34</v>
      </c>
      <c r="W1321" s="45" t="str">
        <f>HYPERLINK("http://ictvonline.org/taxonomy/p/taxonomy-history?taxnode_id=201852985","ICTVonline=201852985")</f>
        <v>ICTVonline=201852985</v>
      </c>
      <c r="AA1321" s="1">
        <v>201850000</v>
      </c>
      <c r="AB1321" s="1">
        <v>34</v>
      </c>
    </row>
    <row r="1322" spans="1:28" x14ac:dyDescent="0.15">
      <c r="A1322" s="1">
        <v>3553</v>
      </c>
      <c r="B1322" s="1" t="s">
        <v>7159</v>
      </c>
      <c r="L1322" s="1" t="s">
        <v>1960</v>
      </c>
      <c r="N1322" s="1" t="s">
        <v>1961</v>
      </c>
      <c r="P1322" s="1" t="s">
        <v>2059</v>
      </c>
      <c r="Q1322" s="3">
        <v>0</v>
      </c>
      <c r="S1322" s="23" t="s">
        <v>5949</v>
      </c>
      <c r="T1322" s="23" t="s">
        <v>4931</v>
      </c>
      <c r="U1322" s="3">
        <v>34</v>
      </c>
      <c r="W1322" s="45" t="str">
        <f>HYPERLINK("http://ictvonline.org/taxonomy/p/taxonomy-history?taxnode_id=201852986","ICTVonline=201852986")</f>
        <v>ICTVonline=201852986</v>
      </c>
      <c r="AA1322" s="1">
        <v>201850000</v>
      </c>
      <c r="AB1322" s="1">
        <v>34</v>
      </c>
    </row>
    <row r="1323" spans="1:28" x14ac:dyDescent="0.15">
      <c r="A1323" s="1">
        <v>3555</v>
      </c>
      <c r="B1323" s="1" t="s">
        <v>7159</v>
      </c>
      <c r="L1323" s="1" t="s">
        <v>1960</v>
      </c>
      <c r="N1323" s="1" t="s">
        <v>1961</v>
      </c>
      <c r="P1323" s="1" t="s">
        <v>2060</v>
      </c>
      <c r="Q1323" s="3">
        <v>0</v>
      </c>
      <c r="S1323" s="23" t="s">
        <v>5949</v>
      </c>
      <c r="T1323" s="23" t="s">
        <v>4931</v>
      </c>
      <c r="U1323" s="3">
        <v>34</v>
      </c>
      <c r="W1323" s="45" t="str">
        <f>HYPERLINK("http://ictvonline.org/taxonomy/p/taxonomy-history?taxnode_id=201852987","ICTVonline=201852987")</f>
        <v>ICTVonline=201852987</v>
      </c>
      <c r="AA1323" s="1">
        <v>201850000</v>
      </c>
      <c r="AB1323" s="1">
        <v>34</v>
      </c>
    </row>
    <row r="1324" spans="1:28" x14ac:dyDescent="0.15">
      <c r="A1324" s="1">
        <v>3557</v>
      </c>
      <c r="B1324" s="1" t="s">
        <v>7159</v>
      </c>
      <c r="L1324" s="1" t="s">
        <v>1960</v>
      </c>
      <c r="N1324" s="1" t="s">
        <v>1961</v>
      </c>
      <c r="P1324" s="1" t="s">
        <v>1821</v>
      </c>
      <c r="Q1324" s="3">
        <v>0</v>
      </c>
      <c r="S1324" s="23" t="s">
        <v>5949</v>
      </c>
      <c r="T1324" s="23" t="s">
        <v>4931</v>
      </c>
      <c r="U1324" s="3">
        <v>34</v>
      </c>
      <c r="W1324" s="45" t="str">
        <f>HYPERLINK("http://ictvonline.org/taxonomy/p/taxonomy-history?taxnode_id=201852988","ICTVonline=201852988")</f>
        <v>ICTVonline=201852988</v>
      </c>
      <c r="AA1324" s="1">
        <v>201850000</v>
      </c>
      <c r="AB1324" s="1">
        <v>34</v>
      </c>
    </row>
    <row r="1325" spans="1:28" x14ac:dyDescent="0.15">
      <c r="A1325" s="1">
        <v>3559</v>
      </c>
      <c r="B1325" s="1" t="s">
        <v>7159</v>
      </c>
      <c r="L1325" s="1" t="s">
        <v>1960</v>
      </c>
      <c r="N1325" s="1" t="s">
        <v>1961</v>
      </c>
      <c r="P1325" s="1" t="s">
        <v>2124</v>
      </c>
      <c r="Q1325" s="3">
        <v>0</v>
      </c>
      <c r="S1325" s="23" t="s">
        <v>5949</v>
      </c>
      <c r="T1325" s="23" t="s">
        <v>4931</v>
      </c>
      <c r="U1325" s="3">
        <v>34</v>
      </c>
      <c r="W1325" s="45" t="str">
        <f>HYPERLINK("http://ictvonline.org/taxonomy/p/taxonomy-history?taxnode_id=201852989","ICTVonline=201852989")</f>
        <v>ICTVonline=201852989</v>
      </c>
      <c r="AA1325" s="1">
        <v>201850000</v>
      </c>
      <c r="AB1325" s="1">
        <v>34</v>
      </c>
    </row>
    <row r="1326" spans="1:28" x14ac:dyDescent="0.15">
      <c r="A1326" s="1">
        <v>3563</v>
      </c>
      <c r="B1326" s="1" t="s">
        <v>7159</v>
      </c>
      <c r="L1326" s="1" t="s">
        <v>1960</v>
      </c>
      <c r="N1326" s="1" t="s">
        <v>2061</v>
      </c>
      <c r="P1326" s="1" t="s">
        <v>2062</v>
      </c>
      <c r="Q1326" s="3">
        <v>0</v>
      </c>
      <c r="S1326" s="23" t="s">
        <v>5949</v>
      </c>
      <c r="T1326" s="23" t="s">
        <v>4931</v>
      </c>
      <c r="U1326" s="3">
        <v>34</v>
      </c>
      <c r="W1326" s="45" t="str">
        <f>HYPERLINK("http://ictvonline.org/taxonomy/p/taxonomy-history?taxnode_id=201852991","ICTVonline=201852991")</f>
        <v>ICTVonline=201852991</v>
      </c>
      <c r="AA1326" s="1">
        <v>201850000</v>
      </c>
      <c r="AB1326" s="1">
        <v>34</v>
      </c>
    </row>
    <row r="1327" spans="1:28" x14ac:dyDescent="0.15">
      <c r="A1327" s="1">
        <v>3565</v>
      </c>
      <c r="B1327" s="1" t="s">
        <v>7159</v>
      </c>
      <c r="L1327" s="1" t="s">
        <v>1960</v>
      </c>
      <c r="N1327" s="1" t="s">
        <v>2061</v>
      </c>
      <c r="P1327" s="1" t="s">
        <v>2063</v>
      </c>
      <c r="Q1327" s="3">
        <v>1</v>
      </c>
      <c r="S1327" s="23" t="s">
        <v>5949</v>
      </c>
      <c r="T1327" s="23" t="s">
        <v>4931</v>
      </c>
      <c r="U1327" s="3">
        <v>34</v>
      </c>
      <c r="W1327" s="45" t="str">
        <f>HYPERLINK("http://ictvonline.org/taxonomy/p/taxonomy-history?taxnode_id=201852992","ICTVonline=201852992")</f>
        <v>ICTVonline=201852992</v>
      </c>
      <c r="AA1327" s="1">
        <v>201850000</v>
      </c>
      <c r="AB1327" s="1">
        <v>34</v>
      </c>
    </row>
    <row r="1328" spans="1:28" x14ac:dyDescent="0.15">
      <c r="A1328" s="1">
        <v>3567</v>
      </c>
      <c r="B1328" s="1" t="s">
        <v>7159</v>
      </c>
      <c r="L1328" s="1" t="s">
        <v>1960</v>
      </c>
      <c r="N1328" s="1" t="s">
        <v>2061</v>
      </c>
      <c r="P1328" s="1" t="s">
        <v>2064</v>
      </c>
      <c r="Q1328" s="3">
        <v>0</v>
      </c>
      <c r="S1328" s="23" t="s">
        <v>5949</v>
      </c>
      <c r="T1328" s="23" t="s">
        <v>4931</v>
      </c>
      <c r="U1328" s="3">
        <v>34</v>
      </c>
      <c r="W1328" s="45" t="str">
        <f>HYPERLINK("http://ictvonline.org/taxonomy/p/taxonomy-history?taxnode_id=201852993","ICTVonline=201852993")</f>
        <v>ICTVonline=201852993</v>
      </c>
      <c r="AA1328" s="1">
        <v>201850000</v>
      </c>
      <c r="AB1328" s="1">
        <v>34</v>
      </c>
    </row>
    <row r="1329" spans="1:28" x14ac:dyDescent="0.15">
      <c r="A1329" s="1">
        <v>3569</v>
      </c>
      <c r="B1329" s="1" t="s">
        <v>7159</v>
      </c>
      <c r="L1329" s="1" t="s">
        <v>1960</v>
      </c>
      <c r="N1329" s="1" t="s">
        <v>2061</v>
      </c>
      <c r="P1329" s="1" t="s">
        <v>2065</v>
      </c>
      <c r="Q1329" s="3">
        <v>0</v>
      </c>
      <c r="S1329" s="23" t="s">
        <v>5949</v>
      </c>
      <c r="T1329" s="23" t="s">
        <v>4931</v>
      </c>
      <c r="U1329" s="3">
        <v>34</v>
      </c>
      <c r="W1329" s="45" t="str">
        <f>HYPERLINK("http://ictvonline.org/taxonomy/p/taxonomy-history?taxnode_id=201852994","ICTVonline=201852994")</f>
        <v>ICTVonline=201852994</v>
      </c>
      <c r="AA1329" s="1">
        <v>201850000</v>
      </c>
      <c r="AB1329" s="1">
        <v>34</v>
      </c>
    </row>
    <row r="1330" spans="1:28" x14ac:dyDescent="0.15">
      <c r="A1330" s="1">
        <v>3571</v>
      </c>
      <c r="B1330" s="1" t="s">
        <v>7159</v>
      </c>
      <c r="L1330" s="1" t="s">
        <v>1960</v>
      </c>
      <c r="N1330" s="1" t="s">
        <v>2061</v>
      </c>
      <c r="P1330" s="1" t="s">
        <v>2066</v>
      </c>
      <c r="Q1330" s="3">
        <v>0</v>
      </c>
      <c r="S1330" s="23" t="s">
        <v>5949</v>
      </c>
      <c r="T1330" s="23" t="s">
        <v>4931</v>
      </c>
      <c r="U1330" s="3">
        <v>34</v>
      </c>
      <c r="W1330" s="45" t="str">
        <f>HYPERLINK("http://ictvonline.org/taxonomy/p/taxonomy-history?taxnode_id=201852995","ICTVonline=201852995")</f>
        <v>ICTVonline=201852995</v>
      </c>
      <c r="AA1330" s="1">
        <v>201850000</v>
      </c>
      <c r="AB1330" s="1">
        <v>34</v>
      </c>
    </row>
    <row r="1331" spans="1:28" x14ac:dyDescent="0.15">
      <c r="A1331" s="1">
        <v>3573</v>
      </c>
      <c r="B1331" s="1" t="s">
        <v>7159</v>
      </c>
      <c r="L1331" s="1" t="s">
        <v>1960</v>
      </c>
      <c r="N1331" s="1" t="s">
        <v>2061</v>
      </c>
      <c r="P1331" s="1" t="s">
        <v>2067</v>
      </c>
      <c r="Q1331" s="3">
        <v>0</v>
      </c>
      <c r="S1331" s="23" t="s">
        <v>5949</v>
      </c>
      <c r="T1331" s="23" t="s">
        <v>4931</v>
      </c>
      <c r="U1331" s="3">
        <v>34</v>
      </c>
      <c r="W1331" s="45" t="str">
        <f>HYPERLINK("http://ictvonline.org/taxonomy/p/taxonomy-history?taxnode_id=201852996","ICTVonline=201852996")</f>
        <v>ICTVonline=201852996</v>
      </c>
      <c r="AA1331" s="1">
        <v>201850000</v>
      </c>
      <c r="AB1331" s="1">
        <v>34</v>
      </c>
    </row>
    <row r="1332" spans="1:28" x14ac:dyDescent="0.15">
      <c r="A1332" s="1">
        <v>3575</v>
      </c>
      <c r="B1332" s="1" t="s">
        <v>7159</v>
      </c>
      <c r="L1332" s="1" t="s">
        <v>1960</v>
      </c>
      <c r="N1332" s="1" t="s">
        <v>2061</v>
      </c>
      <c r="P1332" s="1" t="s">
        <v>2068</v>
      </c>
      <c r="Q1332" s="3">
        <v>0</v>
      </c>
      <c r="S1332" s="23" t="s">
        <v>5949</v>
      </c>
      <c r="T1332" s="23" t="s">
        <v>4931</v>
      </c>
      <c r="U1332" s="3">
        <v>34</v>
      </c>
      <c r="W1332" s="45" t="str">
        <f>HYPERLINK("http://ictvonline.org/taxonomy/p/taxonomy-history?taxnode_id=201852997","ICTVonline=201852997")</f>
        <v>ICTVonline=201852997</v>
      </c>
      <c r="AA1332" s="1">
        <v>201850000</v>
      </c>
      <c r="AB1332" s="1">
        <v>34</v>
      </c>
    </row>
    <row r="1333" spans="1:28" x14ac:dyDescent="0.15">
      <c r="A1333" s="1">
        <v>3577</v>
      </c>
      <c r="B1333" s="1" t="s">
        <v>7159</v>
      </c>
      <c r="L1333" s="1" t="s">
        <v>1960</v>
      </c>
      <c r="N1333" s="1" t="s">
        <v>2061</v>
      </c>
      <c r="P1333" s="1" t="s">
        <v>2069</v>
      </c>
      <c r="Q1333" s="3">
        <v>0</v>
      </c>
      <c r="S1333" s="23" t="s">
        <v>5949</v>
      </c>
      <c r="T1333" s="23" t="s">
        <v>4931</v>
      </c>
      <c r="U1333" s="3">
        <v>34</v>
      </c>
      <c r="W1333" s="45" t="str">
        <f>HYPERLINK("http://ictvonline.org/taxonomy/p/taxonomy-history?taxnode_id=201852998","ICTVonline=201852998")</f>
        <v>ICTVonline=201852998</v>
      </c>
      <c r="AA1333" s="1">
        <v>201850000</v>
      </c>
      <c r="AB1333" s="1">
        <v>34</v>
      </c>
    </row>
    <row r="1334" spans="1:28" x14ac:dyDescent="0.15">
      <c r="A1334" s="1">
        <v>3579</v>
      </c>
      <c r="B1334" s="1" t="s">
        <v>7159</v>
      </c>
      <c r="L1334" s="1" t="s">
        <v>1960</v>
      </c>
      <c r="N1334" s="1" t="s">
        <v>2061</v>
      </c>
      <c r="P1334" s="1" t="s">
        <v>92</v>
      </c>
      <c r="Q1334" s="3">
        <v>0</v>
      </c>
      <c r="S1334" s="23" t="s">
        <v>5949</v>
      </c>
      <c r="T1334" s="23" t="s">
        <v>4931</v>
      </c>
      <c r="U1334" s="3">
        <v>34</v>
      </c>
      <c r="W1334" s="45" t="str">
        <f>HYPERLINK("http://ictvonline.org/taxonomy/p/taxonomy-history?taxnode_id=201852999","ICTVonline=201852999")</f>
        <v>ICTVonline=201852999</v>
      </c>
      <c r="AA1334" s="1">
        <v>201850000</v>
      </c>
      <c r="AB1334" s="1">
        <v>34</v>
      </c>
    </row>
    <row r="1335" spans="1:28" x14ac:dyDescent="0.15">
      <c r="A1335" s="1">
        <v>3581</v>
      </c>
      <c r="B1335" s="1" t="s">
        <v>7159</v>
      </c>
      <c r="L1335" s="1" t="s">
        <v>1960</v>
      </c>
      <c r="N1335" s="1" t="s">
        <v>2061</v>
      </c>
      <c r="P1335" s="1" t="s">
        <v>4666</v>
      </c>
      <c r="Q1335" s="3">
        <v>0</v>
      </c>
      <c r="S1335" s="23" t="s">
        <v>5949</v>
      </c>
      <c r="T1335" s="23" t="s">
        <v>4931</v>
      </c>
      <c r="U1335" s="3">
        <v>34</v>
      </c>
      <c r="W1335" s="45" t="str">
        <f>HYPERLINK("http://ictvonline.org/taxonomy/p/taxonomy-history?taxnode_id=201853000","ICTVonline=201853000")</f>
        <v>ICTVonline=201853000</v>
      </c>
      <c r="AA1335" s="1">
        <v>201850000</v>
      </c>
      <c r="AB1335" s="1">
        <v>34</v>
      </c>
    </row>
    <row r="1336" spans="1:28" x14ac:dyDescent="0.15">
      <c r="A1336" s="1">
        <v>3583</v>
      </c>
      <c r="B1336" s="1" t="s">
        <v>7159</v>
      </c>
      <c r="L1336" s="1" t="s">
        <v>1960</v>
      </c>
      <c r="N1336" s="1" t="s">
        <v>2061</v>
      </c>
      <c r="P1336" s="1" t="s">
        <v>93</v>
      </c>
      <c r="Q1336" s="3">
        <v>0</v>
      </c>
      <c r="S1336" s="23" t="s">
        <v>5949</v>
      </c>
      <c r="T1336" s="23" t="s">
        <v>4931</v>
      </c>
      <c r="U1336" s="3">
        <v>34</v>
      </c>
      <c r="W1336" s="45" t="str">
        <f>HYPERLINK("http://ictvonline.org/taxonomy/p/taxonomy-history?taxnode_id=201853001","ICTVonline=201853001")</f>
        <v>ICTVonline=201853001</v>
      </c>
      <c r="AA1336" s="1">
        <v>201850000</v>
      </c>
      <c r="AB1336" s="1">
        <v>34</v>
      </c>
    </row>
    <row r="1337" spans="1:28" x14ac:dyDescent="0.15">
      <c r="A1337" s="1">
        <v>3585</v>
      </c>
      <c r="B1337" s="1" t="s">
        <v>7159</v>
      </c>
      <c r="L1337" s="1" t="s">
        <v>1960</v>
      </c>
      <c r="N1337" s="1" t="s">
        <v>2061</v>
      </c>
      <c r="P1337" s="1" t="s">
        <v>4667</v>
      </c>
      <c r="Q1337" s="3">
        <v>0</v>
      </c>
      <c r="S1337" s="23" t="s">
        <v>5949</v>
      </c>
      <c r="T1337" s="23" t="s">
        <v>4931</v>
      </c>
      <c r="U1337" s="3">
        <v>34</v>
      </c>
      <c r="W1337" s="45" t="str">
        <f>HYPERLINK("http://ictvonline.org/taxonomy/p/taxonomy-history?taxnode_id=201853002","ICTVonline=201853002")</f>
        <v>ICTVonline=201853002</v>
      </c>
      <c r="AA1337" s="1">
        <v>201850000</v>
      </c>
      <c r="AB1337" s="1">
        <v>34</v>
      </c>
    </row>
    <row r="1338" spans="1:28" x14ac:dyDescent="0.15">
      <c r="A1338" s="1">
        <v>3587</v>
      </c>
      <c r="B1338" s="1" t="s">
        <v>7159</v>
      </c>
      <c r="L1338" s="1" t="s">
        <v>1960</v>
      </c>
      <c r="N1338" s="1" t="s">
        <v>2061</v>
      </c>
      <c r="P1338" s="1" t="s">
        <v>2070</v>
      </c>
      <c r="Q1338" s="3">
        <v>0</v>
      </c>
      <c r="S1338" s="23" t="s">
        <v>5949</v>
      </c>
      <c r="T1338" s="23" t="s">
        <v>4931</v>
      </c>
      <c r="U1338" s="3">
        <v>34</v>
      </c>
      <c r="W1338" s="45" t="str">
        <f>HYPERLINK("http://ictvonline.org/taxonomy/p/taxonomy-history?taxnode_id=201853003","ICTVonline=201853003")</f>
        <v>ICTVonline=201853003</v>
      </c>
      <c r="AA1338" s="1">
        <v>201850000</v>
      </c>
      <c r="AB1338" s="1">
        <v>34</v>
      </c>
    </row>
    <row r="1339" spans="1:28" x14ac:dyDescent="0.15">
      <c r="A1339" s="1">
        <v>3591</v>
      </c>
      <c r="B1339" s="1" t="s">
        <v>7159</v>
      </c>
      <c r="L1339" s="1" t="s">
        <v>1960</v>
      </c>
      <c r="N1339" s="1" t="s">
        <v>2071</v>
      </c>
      <c r="P1339" s="1" t="s">
        <v>2072</v>
      </c>
      <c r="Q1339" s="3">
        <v>0</v>
      </c>
      <c r="S1339" s="23" t="s">
        <v>5949</v>
      </c>
      <c r="T1339" s="23" t="s">
        <v>4931</v>
      </c>
      <c r="U1339" s="3">
        <v>34</v>
      </c>
      <c r="W1339" s="45" t="str">
        <f>HYPERLINK("http://ictvonline.org/taxonomy/p/taxonomy-history?taxnode_id=201853005","ICTVonline=201853005")</f>
        <v>ICTVonline=201853005</v>
      </c>
      <c r="AA1339" s="1">
        <v>201850000</v>
      </c>
      <c r="AB1339" s="1">
        <v>34</v>
      </c>
    </row>
    <row r="1340" spans="1:28" x14ac:dyDescent="0.15">
      <c r="A1340" s="1">
        <v>3593</v>
      </c>
      <c r="B1340" s="1" t="s">
        <v>7159</v>
      </c>
      <c r="L1340" s="1" t="s">
        <v>1960</v>
      </c>
      <c r="N1340" s="1" t="s">
        <v>2071</v>
      </c>
      <c r="P1340" s="1" t="s">
        <v>2125</v>
      </c>
      <c r="Q1340" s="3">
        <v>0</v>
      </c>
      <c r="S1340" s="23" t="s">
        <v>5949</v>
      </c>
      <c r="T1340" s="23" t="s">
        <v>4931</v>
      </c>
      <c r="U1340" s="3">
        <v>34</v>
      </c>
      <c r="W1340" s="45" t="str">
        <f>HYPERLINK("http://ictvonline.org/taxonomy/p/taxonomy-history?taxnode_id=201853006","ICTVonline=201853006")</f>
        <v>ICTVonline=201853006</v>
      </c>
      <c r="AA1340" s="1">
        <v>201850000</v>
      </c>
      <c r="AB1340" s="1">
        <v>34</v>
      </c>
    </row>
    <row r="1341" spans="1:28" x14ac:dyDescent="0.15">
      <c r="A1341" s="1">
        <v>3595</v>
      </c>
      <c r="B1341" s="1" t="s">
        <v>7159</v>
      </c>
      <c r="L1341" s="1" t="s">
        <v>1960</v>
      </c>
      <c r="N1341" s="1" t="s">
        <v>2071</v>
      </c>
      <c r="P1341" s="1" t="s">
        <v>488</v>
      </c>
      <c r="Q1341" s="3">
        <v>0</v>
      </c>
      <c r="S1341" s="23" t="s">
        <v>5949</v>
      </c>
      <c r="T1341" s="23" t="s">
        <v>4931</v>
      </c>
      <c r="U1341" s="3">
        <v>34</v>
      </c>
      <c r="W1341" s="45" t="str">
        <f>HYPERLINK("http://ictvonline.org/taxonomy/p/taxonomy-history?taxnode_id=201853007","ICTVonline=201853007")</f>
        <v>ICTVonline=201853007</v>
      </c>
      <c r="AA1341" s="1">
        <v>201850000</v>
      </c>
      <c r="AB1341" s="1">
        <v>34</v>
      </c>
    </row>
    <row r="1342" spans="1:28" x14ac:dyDescent="0.15">
      <c r="A1342" s="1">
        <v>3597</v>
      </c>
      <c r="B1342" s="1" t="s">
        <v>7159</v>
      </c>
      <c r="L1342" s="1" t="s">
        <v>1960</v>
      </c>
      <c r="M1342" s="2"/>
      <c r="N1342" s="1" t="s">
        <v>2071</v>
      </c>
      <c r="P1342" s="1" t="s">
        <v>489</v>
      </c>
      <c r="Q1342" s="3">
        <v>0</v>
      </c>
      <c r="S1342" s="23" t="s">
        <v>5949</v>
      </c>
      <c r="T1342" s="23" t="s">
        <v>4931</v>
      </c>
      <c r="U1342" s="3">
        <v>34</v>
      </c>
      <c r="W1342" s="45" t="str">
        <f>HYPERLINK("http://ictvonline.org/taxonomy/p/taxonomy-history?taxnode_id=201853008","ICTVonline=201853008")</f>
        <v>ICTVonline=201853008</v>
      </c>
      <c r="AA1342" s="1">
        <v>201850000</v>
      </c>
      <c r="AB1342" s="1">
        <v>34</v>
      </c>
    </row>
    <row r="1343" spans="1:28" x14ac:dyDescent="0.15">
      <c r="A1343" s="1">
        <v>3599</v>
      </c>
      <c r="B1343" s="1" t="s">
        <v>7159</v>
      </c>
      <c r="L1343" s="1" t="s">
        <v>1960</v>
      </c>
      <c r="N1343" s="1" t="s">
        <v>2071</v>
      </c>
      <c r="P1343" s="1" t="s">
        <v>2073</v>
      </c>
      <c r="Q1343" s="3">
        <v>0</v>
      </c>
      <c r="S1343" s="23" t="s">
        <v>5949</v>
      </c>
      <c r="T1343" s="23" t="s">
        <v>4931</v>
      </c>
      <c r="U1343" s="3">
        <v>34</v>
      </c>
      <c r="W1343" s="45" t="str">
        <f>HYPERLINK("http://ictvonline.org/taxonomy/p/taxonomy-history?taxnode_id=201853009","ICTVonline=201853009")</f>
        <v>ICTVonline=201853009</v>
      </c>
      <c r="AA1343" s="1">
        <v>201850000</v>
      </c>
      <c r="AB1343" s="1">
        <v>34</v>
      </c>
    </row>
    <row r="1344" spans="1:28" x14ac:dyDescent="0.15">
      <c r="A1344" s="1">
        <v>3601</v>
      </c>
      <c r="B1344" s="1" t="s">
        <v>7159</v>
      </c>
      <c r="L1344" s="1" t="s">
        <v>1960</v>
      </c>
      <c r="N1344" s="1" t="s">
        <v>2071</v>
      </c>
      <c r="P1344" s="1" t="s">
        <v>2228</v>
      </c>
      <c r="Q1344" s="3">
        <v>0</v>
      </c>
      <c r="S1344" s="23" t="s">
        <v>5949</v>
      </c>
      <c r="T1344" s="23" t="s">
        <v>4931</v>
      </c>
      <c r="U1344" s="3">
        <v>34</v>
      </c>
      <c r="W1344" s="45" t="str">
        <f>HYPERLINK("http://ictvonline.org/taxonomy/p/taxonomy-history?taxnode_id=201853010","ICTVonline=201853010")</f>
        <v>ICTVonline=201853010</v>
      </c>
      <c r="AA1344" s="1">
        <v>201850000</v>
      </c>
      <c r="AB1344" s="1">
        <v>34</v>
      </c>
    </row>
    <row r="1345" spans="1:28" x14ac:dyDescent="0.15">
      <c r="A1345" s="1">
        <v>3603</v>
      </c>
      <c r="B1345" s="1" t="s">
        <v>7159</v>
      </c>
      <c r="L1345" s="1" t="s">
        <v>1960</v>
      </c>
      <c r="N1345" s="1" t="s">
        <v>2071</v>
      </c>
      <c r="P1345" s="1" t="s">
        <v>1970</v>
      </c>
      <c r="Q1345" s="3">
        <v>0</v>
      </c>
      <c r="S1345" s="23" t="s">
        <v>5949</v>
      </c>
      <c r="T1345" s="23" t="s">
        <v>4931</v>
      </c>
      <c r="U1345" s="3">
        <v>34</v>
      </c>
      <c r="W1345" s="45" t="str">
        <f>HYPERLINK("http://ictvonline.org/taxonomy/p/taxonomy-history?taxnode_id=201853011","ICTVonline=201853011")</f>
        <v>ICTVonline=201853011</v>
      </c>
      <c r="AA1345" s="1">
        <v>201850000</v>
      </c>
      <c r="AB1345" s="1">
        <v>34</v>
      </c>
    </row>
    <row r="1346" spans="1:28" x14ac:dyDescent="0.15">
      <c r="A1346" s="1">
        <v>3605</v>
      </c>
      <c r="B1346" s="1" t="s">
        <v>7159</v>
      </c>
      <c r="L1346" s="1" t="s">
        <v>1960</v>
      </c>
      <c r="N1346" s="1" t="s">
        <v>2071</v>
      </c>
      <c r="P1346" s="1" t="s">
        <v>1971</v>
      </c>
      <c r="Q1346" s="3">
        <v>1</v>
      </c>
      <c r="S1346" s="23" t="s">
        <v>5949</v>
      </c>
      <c r="T1346" s="23" t="s">
        <v>4931</v>
      </c>
      <c r="U1346" s="3">
        <v>34</v>
      </c>
      <c r="W1346" s="45" t="str">
        <f>HYPERLINK("http://ictvonline.org/taxonomy/p/taxonomy-history?taxnode_id=201853012","ICTVonline=201853012")</f>
        <v>ICTVonline=201853012</v>
      </c>
      <c r="AA1346" s="1">
        <v>201850000</v>
      </c>
      <c r="AB1346" s="1">
        <v>34</v>
      </c>
    </row>
    <row r="1347" spans="1:28" x14ac:dyDescent="0.15">
      <c r="A1347" s="1">
        <v>3607</v>
      </c>
      <c r="B1347" s="1" t="s">
        <v>7159</v>
      </c>
      <c r="L1347" s="1" t="s">
        <v>1960</v>
      </c>
      <c r="N1347" s="1" t="s">
        <v>2071</v>
      </c>
      <c r="P1347" s="1" t="s">
        <v>1972</v>
      </c>
      <c r="Q1347" s="3">
        <v>0</v>
      </c>
      <c r="S1347" s="23" t="s">
        <v>5949</v>
      </c>
      <c r="T1347" s="23" t="s">
        <v>4931</v>
      </c>
      <c r="U1347" s="3">
        <v>34</v>
      </c>
      <c r="W1347" s="45" t="str">
        <f>HYPERLINK("http://ictvonline.org/taxonomy/p/taxonomy-history?taxnode_id=201853013","ICTVonline=201853013")</f>
        <v>ICTVonline=201853013</v>
      </c>
      <c r="AA1347" s="1">
        <v>201850000</v>
      </c>
      <c r="AB1347" s="1">
        <v>34</v>
      </c>
    </row>
    <row r="1348" spans="1:28" x14ac:dyDescent="0.15">
      <c r="A1348" s="1">
        <v>3609</v>
      </c>
      <c r="B1348" s="1" t="s">
        <v>7159</v>
      </c>
      <c r="L1348" s="1" t="s">
        <v>1960</v>
      </c>
      <c r="N1348" s="1" t="s">
        <v>2071</v>
      </c>
      <c r="P1348" s="1" t="s">
        <v>1973</v>
      </c>
      <c r="Q1348" s="3">
        <v>0</v>
      </c>
      <c r="S1348" s="23" t="s">
        <v>5949</v>
      </c>
      <c r="T1348" s="23" t="s">
        <v>4931</v>
      </c>
      <c r="U1348" s="3">
        <v>34</v>
      </c>
      <c r="W1348" s="45" t="str">
        <f>HYPERLINK("http://ictvonline.org/taxonomy/p/taxonomy-history?taxnode_id=201853014","ICTVonline=201853014")</f>
        <v>ICTVonline=201853014</v>
      </c>
      <c r="AA1348" s="1">
        <v>201850000</v>
      </c>
      <c r="AB1348" s="1">
        <v>34</v>
      </c>
    </row>
    <row r="1349" spans="1:28" x14ac:dyDescent="0.15">
      <c r="A1349" s="1">
        <v>3611</v>
      </c>
      <c r="B1349" s="1" t="s">
        <v>7159</v>
      </c>
      <c r="L1349" s="1" t="s">
        <v>1960</v>
      </c>
      <c r="N1349" s="1" t="s">
        <v>2071</v>
      </c>
      <c r="P1349" s="1" t="s">
        <v>486</v>
      </c>
      <c r="Q1349" s="3">
        <v>0</v>
      </c>
      <c r="S1349" s="23" t="s">
        <v>5949</v>
      </c>
      <c r="T1349" s="23" t="s">
        <v>4931</v>
      </c>
      <c r="U1349" s="3">
        <v>34</v>
      </c>
      <c r="W1349" s="45" t="str">
        <f>HYPERLINK("http://ictvonline.org/taxonomy/p/taxonomy-history?taxnode_id=201853015","ICTVonline=201853015")</f>
        <v>ICTVonline=201853015</v>
      </c>
      <c r="AA1349" s="1">
        <v>201850000</v>
      </c>
      <c r="AB1349" s="1">
        <v>34</v>
      </c>
    </row>
    <row r="1350" spans="1:28" x14ac:dyDescent="0.15">
      <c r="A1350" s="1">
        <v>3613</v>
      </c>
      <c r="B1350" s="1" t="s">
        <v>7159</v>
      </c>
      <c r="L1350" s="1" t="s">
        <v>1960</v>
      </c>
      <c r="N1350" s="1" t="s">
        <v>2071</v>
      </c>
      <c r="P1350" s="1" t="s">
        <v>4668</v>
      </c>
      <c r="Q1350" s="3">
        <v>0</v>
      </c>
      <c r="S1350" s="23" t="s">
        <v>5949</v>
      </c>
      <c r="T1350" s="23" t="s">
        <v>4931</v>
      </c>
      <c r="U1350" s="3">
        <v>34</v>
      </c>
      <c r="W1350" s="45" t="str">
        <f>HYPERLINK("http://ictvonline.org/taxonomy/p/taxonomy-history?taxnode_id=201853016","ICTVonline=201853016")</f>
        <v>ICTVonline=201853016</v>
      </c>
      <c r="AA1350" s="1">
        <v>201850000</v>
      </c>
      <c r="AB1350" s="1">
        <v>34</v>
      </c>
    </row>
    <row r="1351" spans="1:28" x14ac:dyDescent="0.15">
      <c r="A1351" s="1">
        <v>3615</v>
      </c>
      <c r="B1351" s="1" t="s">
        <v>7159</v>
      </c>
      <c r="L1351" s="1" t="s">
        <v>1960</v>
      </c>
      <c r="N1351" s="1" t="s">
        <v>2071</v>
      </c>
      <c r="P1351" s="1" t="s">
        <v>487</v>
      </c>
      <c r="Q1351" s="3">
        <v>0</v>
      </c>
      <c r="S1351" s="23" t="s">
        <v>5949</v>
      </c>
      <c r="T1351" s="23" t="s">
        <v>4931</v>
      </c>
      <c r="U1351" s="3">
        <v>34</v>
      </c>
      <c r="W1351" s="45" t="str">
        <f>HYPERLINK("http://ictvonline.org/taxonomy/p/taxonomy-history?taxnode_id=201853017","ICTVonline=201853017")</f>
        <v>ICTVonline=201853017</v>
      </c>
      <c r="AA1351" s="1">
        <v>201850000</v>
      </c>
      <c r="AB1351" s="1">
        <v>34</v>
      </c>
    </row>
    <row r="1352" spans="1:28" x14ac:dyDescent="0.15">
      <c r="A1352" s="1">
        <v>3617</v>
      </c>
      <c r="B1352" s="1" t="s">
        <v>7159</v>
      </c>
      <c r="L1352" s="1" t="s">
        <v>1960</v>
      </c>
      <c r="N1352" s="1" t="s">
        <v>2071</v>
      </c>
      <c r="P1352" s="1" t="s">
        <v>1560</v>
      </c>
      <c r="Q1352" s="3">
        <v>0</v>
      </c>
      <c r="S1352" s="23" t="s">
        <v>5949</v>
      </c>
      <c r="T1352" s="23" t="s">
        <v>4931</v>
      </c>
      <c r="U1352" s="3">
        <v>34</v>
      </c>
      <c r="W1352" s="45" t="str">
        <f>HYPERLINK("http://ictvonline.org/taxonomy/p/taxonomy-history?taxnode_id=201853018","ICTVonline=201853018")</f>
        <v>ICTVonline=201853018</v>
      </c>
      <c r="AA1352" s="1">
        <v>201850000</v>
      </c>
      <c r="AB1352" s="1">
        <v>34</v>
      </c>
    </row>
    <row r="1353" spans="1:28" x14ac:dyDescent="0.15">
      <c r="A1353" s="1">
        <v>3621</v>
      </c>
      <c r="B1353" s="1" t="s">
        <v>7159</v>
      </c>
      <c r="L1353" s="1" t="s">
        <v>1960</v>
      </c>
      <c r="N1353" s="1" t="s">
        <v>2381</v>
      </c>
      <c r="P1353" s="1" t="s">
        <v>4670</v>
      </c>
      <c r="Q1353" s="3">
        <v>0</v>
      </c>
      <c r="S1353" s="23" t="s">
        <v>5949</v>
      </c>
      <c r="T1353" s="23" t="s">
        <v>4931</v>
      </c>
      <c r="U1353" s="3">
        <v>34</v>
      </c>
      <c r="W1353" s="45" t="str">
        <f>HYPERLINK("http://ictvonline.org/taxonomy/p/taxonomy-history?taxnode_id=201853027","ICTVonline=201853027")</f>
        <v>ICTVonline=201853027</v>
      </c>
      <c r="AA1353" s="1">
        <v>201850000</v>
      </c>
      <c r="AB1353" s="1">
        <v>34</v>
      </c>
    </row>
    <row r="1354" spans="1:28" x14ac:dyDescent="0.15">
      <c r="A1354" s="1">
        <v>3623</v>
      </c>
      <c r="B1354" s="1" t="s">
        <v>7159</v>
      </c>
      <c r="L1354" s="1" t="s">
        <v>1960</v>
      </c>
      <c r="N1354" s="1" t="s">
        <v>2381</v>
      </c>
      <c r="P1354" s="1" t="s">
        <v>2382</v>
      </c>
      <c r="Q1354" s="3">
        <v>0</v>
      </c>
      <c r="S1354" s="23" t="s">
        <v>5949</v>
      </c>
      <c r="T1354" s="23" t="s">
        <v>4931</v>
      </c>
      <c r="U1354" s="3">
        <v>34</v>
      </c>
      <c r="W1354" s="45" t="str">
        <f>HYPERLINK("http://ictvonline.org/taxonomy/p/taxonomy-history?taxnode_id=201853028","ICTVonline=201853028")</f>
        <v>ICTVonline=201853028</v>
      </c>
      <c r="AA1354" s="1">
        <v>201850000</v>
      </c>
      <c r="AB1354" s="1">
        <v>34</v>
      </c>
    </row>
    <row r="1355" spans="1:28" x14ac:dyDescent="0.15">
      <c r="A1355" s="1">
        <v>3625</v>
      </c>
      <c r="B1355" s="1" t="s">
        <v>7159</v>
      </c>
      <c r="L1355" s="1" t="s">
        <v>1960</v>
      </c>
      <c r="N1355" s="1" t="s">
        <v>2381</v>
      </c>
      <c r="P1355" s="1" t="s">
        <v>3764</v>
      </c>
      <c r="Q1355" s="3">
        <v>0</v>
      </c>
      <c r="S1355" s="23" t="s">
        <v>5949</v>
      </c>
      <c r="T1355" s="23" t="s">
        <v>4931</v>
      </c>
      <c r="U1355" s="3">
        <v>34</v>
      </c>
      <c r="W1355" s="45" t="str">
        <f>HYPERLINK("http://ictvonline.org/taxonomy/p/taxonomy-history?taxnode_id=201853029","ICTVonline=201853029")</f>
        <v>ICTVonline=201853029</v>
      </c>
      <c r="AA1355" s="1">
        <v>201850000</v>
      </c>
      <c r="AB1355" s="1">
        <v>34</v>
      </c>
    </row>
    <row r="1356" spans="1:28" x14ac:dyDescent="0.15">
      <c r="A1356" s="1">
        <v>3627</v>
      </c>
      <c r="B1356" s="1" t="s">
        <v>7159</v>
      </c>
      <c r="L1356" s="1" t="s">
        <v>1960</v>
      </c>
      <c r="N1356" s="1" t="s">
        <v>2381</v>
      </c>
      <c r="P1356" s="1" t="s">
        <v>3765</v>
      </c>
      <c r="Q1356" s="3">
        <v>0</v>
      </c>
      <c r="S1356" s="23" t="s">
        <v>5949</v>
      </c>
      <c r="T1356" s="23" t="s">
        <v>4931</v>
      </c>
      <c r="U1356" s="3">
        <v>34</v>
      </c>
      <c r="W1356" s="45" t="str">
        <f>HYPERLINK("http://ictvonline.org/taxonomy/p/taxonomy-history?taxnode_id=201853030","ICTVonline=201853030")</f>
        <v>ICTVonline=201853030</v>
      </c>
      <c r="AA1356" s="1">
        <v>201850000</v>
      </c>
      <c r="AB1356" s="1">
        <v>34</v>
      </c>
    </row>
    <row r="1357" spans="1:28" x14ac:dyDescent="0.15">
      <c r="A1357" s="1">
        <v>3629</v>
      </c>
      <c r="B1357" s="1" t="s">
        <v>7159</v>
      </c>
      <c r="L1357" s="1" t="s">
        <v>1960</v>
      </c>
      <c r="N1357" s="1" t="s">
        <v>2381</v>
      </c>
      <c r="P1357" s="1" t="s">
        <v>3766</v>
      </c>
      <c r="Q1357" s="3">
        <v>0</v>
      </c>
      <c r="S1357" s="23" t="s">
        <v>5949</v>
      </c>
      <c r="T1357" s="23" t="s">
        <v>4931</v>
      </c>
      <c r="U1357" s="3">
        <v>34</v>
      </c>
      <c r="W1357" s="45" t="str">
        <f>HYPERLINK("http://ictvonline.org/taxonomy/p/taxonomy-history?taxnode_id=201853031","ICTVonline=201853031")</f>
        <v>ICTVonline=201853031</v>
      </c>
      <c r="AA1357" s="1">
        <v>201850000</v>
      </c>
      <c r="AB1357" s="1">
        <v>34</v>
      </c>
    </row>
    <row r="1358" spans="1:28" x14ac:dyDescent="0.15">
      <c r="A1358" s="1">
        <v>3631</v>
      </c>
      <c r="B1358" s="1" t="s">
        <v>7159</v>
      </c>
      <c r="L1358" s="1" t="s">
        <v>1960</v>
      </c>
      <c r="N1358" s="1" t="s">
        <v>2381</v>
      </c>
      <c r="P1358" s="1" t="s">
        <v>2150</v>
      </c>
      <c r="Q1358" s="3">
        <v>1</v>
      </c>
      <c r="S1358" s="23" t="s">
        <v>5949</v>
      </c>
      <c r="T1358" s="23" t="s">
        <v>4931</v>
      </c>
      <c r="U1358" s="3">
        <v>34</v>
      </c>
      <c r="W1358" s="45" t="str">
        <f>HYPERLINK("http://ictvonline.org/taxonomy/p/taxonomy-history?taxnode_id=201853032","ICTVonline=201853032")</f>
        <v>ICTVonline=201853032</v>
      </c>
      <c r="AA1358" s="1">
        <v>201850000</v>
      </c>
      <c r="AB1358" s="1">
        <v>34</v>
      </c>
    </row>
    <row r="1359" spans="1:28" x14ac:dyDescent="0.15">
      <c r="A1359" s="1">
        <v>3633</v>
      </c>
      <c r="B1359" s="1" t="s">
        <v>7159</v>
      </c>
      <c r="L1359" s="1" t="s">
        <v>1960</v>
      </c>
      <c r="N1359" s="1" t="s">
        <v>2381</v>
      </c>
      <c r="P1359" s="1" t="s">
        <v>2151</v>
      </c>
      <c r="Q1359" s="3">
        <v>0</v>
      </c>
      <c r="S1359" s="23" t="s">
        <v>5949</v>
      </c>
      <c r="T1359" s="23" t="s">
        <v>4931</v>
      </c>
      <c r="U1359" s="3">
        <v>34</v>
      </c>
      <c r="W1359" s="45" t="str">
        <f>HYPERLINK("http://ictvonline.org/taxonomy/p/taxonomy-history?taxnode_id=201853033","ICTVonline=201853033")</f>
        <v>ICTVonline=201853033</v>
      </c>
      <c r="AA1359" s="1">
        <v>201850000</v>
      </c>
      <c r="AB1359" s="1">
        <v>34</v>
      </c>
    </row>
    <row r="1360" spans="1:28" x14ac:dyDescent="0.15">
      <c r="A1360" s="1">
        <v>3636</v>
      </c>
      <c r="B1360" s="1" t="s">
        <v>7159</v>
      </c>
      <c r="L1360" s="1" t="s">
        <v>1960</v>
      </c>
      <c r="P1360" s="1" t="s">
        <v>7043</v>
      </c>
      <c r="Q1360" s="3">
        <v>0</v>
      </c>
      <c r="S1360" s="23" t="s">
        <v>5949</v>
      </c>
      <c r="T1360" s="23" t="s">
        <v>4929</v>
      </c>
      <c r="U1360" s="3">
        <v>34</v>
      </c>
      <c r="V1360" s="3" t="s">
        <v>7042</v>
      </c>
      <c r="W1360" s="45" t="str">
        <f>HYPERLINK("http://ictvonline.org/taxonomy/p/taxonomy-history?taxnode_id=201856657","ICTVonline=201856657")</f>
        <v>ICTVonline=201856657</v>
      </c>
      <c r="AA1360" s="1">
        <v>201850000</v>
      </c>
      <c r="AB1360" s="1">
        <v>34</v>
      </c>
    </row>
    <row r="1361" spans="1:28" x14ac:dyDescent="0.15">
      <c r="A1361" s="1">
        <v>3638</v>
      </c>
      <c r="B1361" s="1" t="s">
        <v>7159</v>
      </c>
      <c r="L1361" s="1" t="s">
        <v>1960</v>
      </c>
      <c r="P1361" s="1" t="s">
        <v>2149</v>
      </c>
      <c r="Q1361" s="3">
        <v>0</v>
      </c>
      <c r="S1361" s="23" t="s">
        <v>5949</v>
      </c>
      <c r="T1361" s="23" t="s">
        <v>4931</v>
      </c>
      <c r="U1361" s="3">
        <v>34</v>
      </c>
      <c r="W1361" s="45" t="str">
        <f>HYPERLINK("http://ictvonline.org/taxonomy/p/taxonomy-history?taxnode_id=201853020","ICTVonline=201853020")</f>
        <v>ICTVonline=201853020</v>
      </c>
      <c r="AA1361" s="1">
        <v>201850000</v>
      </c>
      <c r="AB1361" s="1">
        <v>34</v>
      </c>
    </row>
    <row r="1362" spans="1:28" x14ac:dyDescent="0.15">
      <c r="A1362" s="1">
        <v>3640</v>
      </c>
      <c r="B1362" s="1" t="s">
        <v>7159</v>
      </c>
      <c r="L1362" s="1" t="s">
        <v>1960</v>
      </c>
      <c r="P1362" s="1" t="s">
        <v>3763</v>
      </c>
      <c r="Q1362" s="3">
        <v>0</v>
      </c>
      <c r="S1362" s="23" t="s">
        <v>5949</v>
      </c>
      <c r="T1362" s="23" t="s">
        <v>4931</v>
      </c>
      <c r="U1362" s="3">
        <v>34</v>
      </c>
      <c r="W1362" s="45" t="str">
        <f>HYPERLINK("http://ictvonline.org/taxonomy/p/taxonomy-history?taxnode_id=201853021","ICTVonline=201853021")</f>
        <v>ICTVonline=201853021</v>
      </c>
      <c r="AA1362" s="1">
        <v>201850000</v>
      </c>
      <c r="AB1362" s="1">
        <v>34</v>
      </c>
    </row>
    <row r="1363" spans="1:28" x14ac:dyDescent="0.15">
      <c r="A1363" s="1">
        <v>3642</v>
      </c>
      <c r="B1363" s="1" t="s">
        <v>7159</v>
      </c>
      <c r="L1363" s="1" t="s">
        <v>1960</v>
      </c>
      <c r="P1363" s="1" t="s">
        <v>2152</v>
      </c>
      <c r="Q1363" s="3">
        <v>0</v>
      </c>
      <c r="S1363" s="23" t="s">
        <v>5949</v>
      </c>
      <c r="T1363" s="23" t="s">
        <v>4931</v>
      </c>
      <c r="U1363" s="3">
        <v>34</v>
      </c>
      <c r="W1363" s="45" t="str">
        <f>HYPERLINK("http://ictvonline.org/taxonomy/p/taxonomy-history?taxnode_id=201853022","ICTVonline=201853022")</f>
        <v>ICTVonline=201853022</v>
      </c>
      <c r="AA1363" s="1">
        <v>201850000</v>
      </c>
      <c r="AB1363" s="1">
        <v>34</v>
      </c>
    </row>
    <row r="1364" spans="1:28" x14ac:dyDescent="0.15">
      <c r="A1364" s="1">
        <v>3644</v>
      </c>
      <c r="B1364" s="1" t="s">
        <v>7159</v>
      </c>
      <c r="L1364" s="1" t="s">
        <v>1960</v>
      </c>
      <c r="P1364" s="1" t="s">
        <v>1561</v>
      </c>
      <c r="Q1364" s="3">
        <v>0</v>
      </c>
      <c r="S1364" s="23" t="s">
        <v>5949</v>
      </c>
      <c r="T1364" s="23" t="s">
        <v>4931</v>
      </c>
      <c r="U1364" s="3">
        <v>34</v>
      </c>
      <c r="W1364" s="45" t="str">
        <f>HYPERLINK("http://ictvonline.org/taxonomy/p/taxonomy-history?taxnode_id=201853023","ICTVonline=201853023")</f>
        <v>ICTVonline=201853023</v>
      </c>
      <c r="AA1364" s="1">
        <v>201850000</v>
      </c>
      <c r="AB1364" s="1">
        <v>34</v>
      </c>
    </row>
    <row r="1365" spans="1:28" x14ac:dyDescent="0.15">
      <c r="A1365" s="1">
        <v>3646</v>
      </c>
      <c r="B1365" s="1" t="s">
        <v>7159</v>
      </c>
      <c r="L1365" s="1" t="s">
        <v>1960</v>
      </c>
      <c r="P1365" s="1" t="s">
        <v>2153</v>
      </c>
      <c r="Q1365" s="3">
        <v>0</v>
      </c>
      <c r="S1365" s="23" t="s">
        <v>5949</v>
      </c>
      <c r="T1365" s="23" t="s">
        <v>4931</v>
      </c>
      <c r="U1365" s="3">
        <v>34</v>
      </c>
      <c r="W1365" s="45" t="str">
        <f>HYPERLINK("http://ictvonline.org/taxonomy/p/taxonomy-history?taxnode_id=201853024","ICTVonline=201853024")</f>
        <v>ICTVonline=201853024</v>
      </c>
      <c r="AA1365" s="1">
        <v>201850000</v>
      </c>
      <c r="AB1365" s="1">
        <v>34</v>
      </c>
    </row>
    <row r="1366" spans="1:28" x14ac:dyDescent="0.15">
      <c r="A1366" s="1">
        <v>3648</v>
      </c>
      <c r="B1366" s="1" t="s">
        <v>7159</v>
      </c>
      <c r="L1366" s="1" t="s">
        <v>1960</v>
      </c>
      <c r="P1366" s="1" t="s">
        <v>4669</v>
      </c>
      <c r="Q1366" s="3">
        <v>0</v>
      </c>
      <c r="S1366" s="23" t="s">
        <v>5949</v>
      </c>
      <c r="T1366" s="23" t="s">
        <v>4931</v>
      </c>
      <c r="U1366" s="3">
        <v>34</v>
      </c>
      <c r="W1366" s="45" t="str">
        <f>HYPERLINK("http://ictvonline.org/taxonomy/p/taxonomy-history?taxnode_id=201853025","ICTVonline=201853025")</f>
        <v>ICTVonline=201853025</v>
      </c>
      <c r="AA1366" s="1">
        <v>201850000</v>
      </c>
      <c r="AB1366" s="1">
        <v>34</v>
      </c>
    </row>
    <row r="1367" spans="1:28" x14ac:dyDescent="0.15">
      <c r="A1367" s="1">
        <v>3653</v>
      </c>
      <c r="B1367" s="1" t="s">
        <v>7159</v>
      </c>
      <c r="L1367" s="1" t="s">
        <v>2077</v>
      </c>
      <c r="N1367" s="1" t="s">
        <v>2082</v>
      </c>
      <c r="P1367" s="1" t="s">
        <v>3768</v>
      </c>
      <c r="Q1367" s="3">
        <v>1</v>
      </c>
      <c r="S1367" s="23" t="s">
        <v>5949</v>
      </c>
      <c r="T1367" s="23" t="s">
        <v>4931</v>
      </c>
      <c r="U1367" s="3">
        <v>34</v>
      </c>
      <c r="W1367" s="45" t="str">
        <f>HYPERLINK("http://ictvonline.org/taxonomy/p/taxonomy-history?taxnode_id=201853041","ICTVonline=201853041")</f>
        <v>ICTVonline=201853041</v>
      </c>
      <c r="AA1367" s="1">
        <v>201850000</v>
      </c>
      <c r="AB1367" s="1">
        <v>34</v>
      </c>
    </row>
    <row r="1368" spans="1:28" x14ac:dyDescent="0.15">
      <c r="A1368" s="1">
        <v>3655</v>
      </c>
      <c r="B1368" s="1" t="s">
        <v>7159</v>
      </c>
      <c r="L1368" s="1" t="s">
        <v>2077</v>
      </c>
      <c r="N1368" s="1" t="s">
        <v>2082</v>
      </c>
      <c r="P1368" s="1" t="s">
        <v>5351</v>
      </c>
      <c r="Q1368" s="3">
        <v>0</v>
      </c>
      <c r="S1368" s="23" t="s">
        <v>5949</v>
      </c>
      <c r="T1368" s="23" t="s">
        <v>4931</v>
      </c>
      <c r="U1368" s="3">
        <v>34</v>
      </c>
      <c r="W1368" s="45" t="str">
        <f>HYPERLINK("http://ictvonline.org/taxonomy/p/taxonomy-history?taxnode_id=201855775","ICTVonline=201855775")</f>
        <v>ICTVonline=201855775</v>
      </c>
      <c r="AA1368" s="1">
        <v>201850000</v>
      </c>
      <c r="AB1368" s="1">
        <v>34</v>
      </c>
    </row>
    <row r="1369" spans="1:28" x14ac:dyDescent="0.15">
      <c r="A1369" s="1">
        <v>3657</v>
      </c>
      <c r="B1369" s="1" t="s">
        <v>7159</v>
      </c>
      <c r="L1369" s="1" t="s">
        <v>2077</v>
      </c>
      <c r="N1369" s="1" t="s">
        <v>2082</v>
      </c>
      <c r="P1369" s="1" t="s">
        <v>5352</v>
      </c>
      <c r="Q1369" s="3">
        <v>0</v>
      </c>
      <c r="S1369" s="23" t="s">
        <v>5949</v>
      </c>
      <c r="T1369" s="23" t="s">
        <v>4931</v>
      </c>
      <c r="U1369" s="3">
        <v>34</v>
      </c>
      <c r="W1369" s="45" t="str">
        <f>HYPERLINK("http://ictvonline.org/taxonomy/p/taxonomy-history?taxnode_id=201855772","ICTVonline=201855772")</f>
        <v>ICTVonline=201855772</v>
      </c>
      <c r="AA1369" s="1">
        <v>201850000</v>
      </c>
      <c r="AB1369" s="1">
        <v>34</v>
      </c>
    </row>
    <row r="1370" spans="1:28" x14ac:dyDescent="0.15">
      <c r="A1370" s="1">
        <v>3659</v>
      </c>
      <c r="B1370" s="1" t="s">
        <v>7159</v>
      </c>
      <c r="L1370" s="1" t="s">
        <v>2077</v>
      </c>
      <c r="N1370" s="1" t="s">
        <v>2082</v>
      </c>
      <c r="P1370" s="1" t="s">
        <v>5353</v>
      </c>
      <c r="Q1370" s="3">
        <v>0</v>
      </c>
      <c r="S1370" s="23" t="s">
        <v>5949</v>
      </c>
      <c r="T1370" s="23" t="s">
        <v>4931</v>
      </c>
      <c r="U1370" s="3">
        <v>34</v>
      </c>
      <c r="W1370" s="45" t="str">
        <f>HYPERLINK("http://ictvonline.org/taxonomy/p/taxonomy-history?taxnode_id=201855773","ICTVonline=201855773")</f>
        <v>ICTVonline=201855773</v>
      </c>
      <c r="AA1370" s="1">
        <v>201850000</v>
      </c>
      <c r="AB1370" s="1">
        <v>34</v>
      </c>
    </row>
    <row r="1371" spans="1:28" x14ac:dyDescent="0.15">
      <c r="A1371" s="1">
        <v>3661</v>
      </c>
      <c r="B1371" s="1" t="s">
        <v>7159</v>
      </c>
      <c r="L1371" s="1" t="s">
        <v>2077</v>
      </c>
      <c r="N1371" s="1" t="s">
        <v>2082</v>
      </c>
      <c r="P1371" s="1" t="s">
        <v>5354</v>
      </c>
      <c r="Q1371" s="3">
        <v>0</v>
      </c>
      <c r="S1371" s="23" t="s">
        <v>5949</v>
      </c>
      <c r="T1371" s="23" t="s">
        <v>4931</v>
      </c>
      <c r="U1371" s="3">
        <v>34</v>
      </c>
      <c r="W1371" s="45" t="str">
        <f>HYPERLINK("http://ictvonline.org/taxonomy/p/taxonomy-history?taxnode_id=201855774","ICTVonline=201855774")</f>
        <v>ICTVonline=201855774</v>
      </c>
      <c r="AA1371" s="1">
        <v>201850000</v>
      </c>
      <c r="AB1371" s="1">
        <v>34</v>
      </c>
    </row>
    <row r="1372" spans="1:28" x14ac:dyDescent="0.15">
      <c r="A1372" s="1">
        <v>3663</v>
      </c>
      <c r="B1372" s="1" t="s">
        <v>7159</v>
      </c>
      <c r="L1372" s="1" t="s">
        <v>2077</v>
      </c>
      <c r="N1372" s="1" t="s">
        <v>2082</v>
      </c>
      <c r="P1372" s="1" t="s">
        <v>5355</v>
      </c>
      <c r="Q1372" s="3">
        <v>0</v>
      </c>
      <c r="S1372" s="23" t="s">
        <v>5949</v>
      </c>
      <c r="T1372" s="23" t="s">
        <v>4931</v>
      </c>
      <c r="U1372" s="3">
        <v>34</v>
      </c>
      <c r="W1372" s="45" t="str">
        <f>HYPERLINK("http://ictvonline.org/taxonomy/p/taxonomy-history?taxnode_id=201855776","ICTVonline=201855776")</f>
        <v>ICTVonline=201855776</v>
      </c>
      <c r="AA1372" s="1">
        <v>201850000</v>
      </c>
      <c r="AB1372" s="1">
        <v>34</v>
      </c>
    </row>
    <row r="1373" spans="1:28" x14ac:dyDescent="0.15">
      <c r="A1373" s="1">
        <v>3665</v>
      </c>
      <c r="B1373" s="1" t="s">
        <v>7159</v>
      </c>
      <c r="L1373" s="1" t="s">
        <v>2077</v>
      </c>
      <c r="N1373" s="1" t="s">
        <v>2082</v>
      </c>
      <c r="P1373" s="1" t="s">
        <v>5356</v>
      </c>
      <c r="Q1373" s="3">
        <v>0</v>
      </c>
      <c r="S1373" s="23" t="s">
        <v>5949</v>
      </c>
      <c r="T1373" s="23" t="s">
        <v>4931</v>
      </c>
      <c r="U1373" s="3">
        <v>34</v>
      </c>
      <c r="W1373" s="45" t="str">
        <f>HYPERLINK("http://ictvonline.org/taxonomy/p/taxonomy-history?taxnode_id=201855777","ICTVonline=201855777")</f>
        <v>ICTVonline=201855777</v>
      </c>
      <c r="AA1373" s="1">
        <v>201850000</v>
      </c>
      <c r="AB1373" s="1">
        <v>34</v>
      </c>
    </row>
    <row r="1374" spans="1:28" x14ac:dyDescent="0.15">
      <c r="A1374" s="1">
        <v>3671</v>
      </c>
      <c r="B1374" s="1" t="s">
        <v>7159</v>
      </c>
      <c r="L1374" s="1" t="s">
        <v>1639</v>
      </c>
      <c r="N1374" s="1" t="s">
        <v>4096</v>
      </c>
      <c r="P1374" s="1" t="s">
        <v>4097</v>
      </c>
      <c r="Q1374" s="3">
        <v>0</v>
      </c>
      <c r="S1374" s="23" t="s">
        <v>5949</v>
      </c>
      <c r="T1374" s="23" t="s">
        <v>4931</v>
      </c>
      <c r="U1374" s="3">
        <v>34</v>
      </c>
      <c r="W1374" s="45" t="str">
        <f>HYPERLINK("http://ictvonline.org/taxonomy/p/taxonomy-history?taxnode_id=201853045","ICTVonline=201853045")</f>
        <v>ICTVonline=201853045</v>
      </c>
      <c r="AA1374" s="1">
        <v>201850000</v>
      </c>
      <c r="AB1374" s="1">
        <v>34</v>
      </c>
    </row>
    <row r="1375" spans="1:28" x14ac:dyDescent="0.15">
      <c r="A1375" s="1">
        <v>3673</v>
      </c>
      <c r="B1375" s="1" t="s">
        <v>7159</v>
      </c>
      <c r="L1375" s="1" t="s">
        <v>1639</v>
      </c>
      <c r="N1375" s="1" t="s">
        <v>4096</v>
      </c>
      <c r="P1375" s="1" t="s">
        <v>4098</v>
      </c>
      <c r="Q1375" s="3">
        <v>0</v>
      </c>
      <c r="S1375" s="23" t="s">
        <v>5949</v>
      </c>
      <c r="T1375" s="23" t="s">
        <v>4931</v>
      </c>
      <c r="U1375" s="3">
        <v>34</v>
      </c>
      <c r="W1375" s="45" t="str">
        <f>HYPERLINK("http://ictvonline.org/taxonomy/p/taxonomy-history?taxnode_id=201853046","ICTVonline=201853046")</f>
        <v>ICTVonline=201853046</v>
      </c>
      <c r="AA1375" s="1">
        <v>201850000</v>
      </c>
      <c r="AB1375" s="1">
        <v>34</v>
      </c>
    </row>
    <row r="1376" spans="1:28" x14ac:dyDescent="0.15">
      <c r="A1376" s="1">
        <v>3675</v>
      </c>
      <c r="B1376" s="1" t="s">
        <v>7159</v>
      </c>
      <c r="L1376" s="1" t="s">
        <v>1639</v>
      </c>
      <c r="N1376" s="1" t="s">
        <v>4096</v>
      </c>
      <c r="P1376" s="1" t="s">
        <v>4671</v>
      </c>
      <c r="Q1376" s="3">
        <v>0</v>
      </c>
      <c r="S1376" s="23" t="s">
        <v>5949</v>
      </c>
      <c r="T1376" s="23" t="s">
        <v>4931</v>
      </c>
      <c r="U1376" s="3">
        <v>34</v>
      </c>
      <c r="W1376" s="45" t="str">
        <f>HYPERLINK("http://ictvonline.org/taxonomy/p/taxonomy-history?taxnode_id=201853047","ICTVonline=201853047")</f>
        <v>ICTVonline=201853047</v>
      </c>
      <c r="AA1376" s="1">
        <v>201850000</v>
      </c>
      <c r="AB1376" s="1">
        <v>34</v>
      </c>
    </row>
    <row r="1377" spans="1:28" x14ac:dyDescent="0.15">
      <c r="A1377" s="1">
        <v>3677</v>
      </c>
      <c r="B1377" s="1" t="s">
        <v>7159</v>
      </c>
      <c r="L1377" s="1" t="s">
        <v>1639</v>
      </c>
      <c r="N1377" s="1" t="s">
        <v>4096</v>
      </c>
      <c r="P1377" s="1" t="s">
        <v>4672</v>
      </c>
      <c r="Q1377" s="3">
        <v>0</v>
      </c>
      <c r="S1377" s="23" t="s">
        <v>5949</v>
      </c>
      <c r="T1377" s="23" t="s">
        <v>4931</v>
      </c>
      <c r="U1377" s="3">
        <v>34</v>
      </c>
      <c r="W1377" s="45" t="str">
        <f>HYPERLINK("http://ictvonline.org/taxonomy/p/taxonomy-history?taxnode_id=201853048","ICTVonline=201853048")</f>
        <v>ICTVonline=201853048</v>
      </c>
      <c r="AA1377" s="1">
        <v>201850000</v>
      </c>
      <c r="AB1377" s="1">
        <v>34</v>
      </c>
    </row>
    <row r="1378" spans="1:28" x14ac:dyDescent="0.15">
      <c r="A1378" s="1">
        <v>3679</v>
      </c>
      <c r="B1378" s="1" t="s">
        <v>7159</v>
      </c>
      <c r="L1378" s="1" t="s">
        <v>1639</v>
      </c>
      <c r="N1378" s="1" t="s">
        <v>4096</v>
      </c>
      <c r="P1378" s="1" t="s">
        <v>4673</v>
      </c>
      <c r="Q1378" s="3">
        <v>0</v>
      </c>
      <c r="S1378" s="23" t="s">
        <v>5949</v>
      </c>
      <c r="T1378" s="23" t="s">
        <v>4931</v>
      </c>
      <c r="U1378" s="3">
        <v>34</v>
      </c>
      <c r="W1378" s="45" t="str">
        <f>HYPERLINK("http://ictvonline.org/taxonomy/p/taxonomy-history?taxnode_id=201853049","ICTVonline=201853049")</f>
        <v>ICTVonline=201853049</v>
      </c>
      <c r="AA1378" s="1">
        <v>201850000</v>
      </c>
      <c r="AB1378" s="1">
        <v>34</v>
      </c>
    </row>
    <row r="1379" spans="1:28" x14ac:dyDescent="0.15">
      <c r="A1379" s="1">
        <v>3681</v>
      </c>
      <c r="B1379" s="1" t="s">
        <v>7159</v>
      </c>
      <c r="L1379" s="1" t="s">
        <v>1639</v>
      </c>
      <c r="N1379" s="1" t="s">
        <v>4096</v>
      </c>
      <c r="P1379" s="1" t="s">
        <v>4099</v>
      </c>
      <c r="Q1379" s="3">
        <v>0</v>
      </c>
      <c r="S1379" s="23" t="s">
        <v>5949</v>
      </c>
      <c r="T1379" s="23" t="s">
        <v>4931</v>
      </c>
      <c r="U1379" s="3">
        <v>34</v>
      </c>
      <c r="W1379" s="45" t="str">
        <f>HYPERLINK("http://ictvonline.org/taxonomy/p/taxonomy-history?taxnode_id=201853050","ICTVonline=201853050")</f>
        <v>ICTVonline=201853050</v>
      </c>
      <c r="AA1379" s="1">
        <v>201850000</v>
      </c>
      <c r="AB1379" s="1">
        <v>34</v>
      </c>
    </row>
    <row r="1380" spans="1:28" x14ac:dyDescent="0.15">
      <c r="A1380" s="1">
        <v>3683</v>
      </c>
      <c r="B1380" s="1" t="s">
        <v>7159</v>
      </c>
      <c r="L1380" s="1" t="s">
        <v>1639</v>
      </c>
      <c r="N1380" s="1" t="s">
        <v>4096</v>
      </c>
      <c r="P1380" s="1" t="s">
        <v>4674</v>
      </c>
      <c r="Q1380" s="3">
        <v>0</v>
      </c>
      <c r="S1380" s="23" t="s">
        <v>5949</v>
      </c>
      <c r="T1380" s="23" t="s">
        <v>4931</v>
      </c>
      <c r="U1380" s="3">
        <v>34</v>
      </c>
      <c r="W1380" s="45" t="str">
        <f>HYPERLINK("http://ictvonline.org/taxonomy/p/taxonomy-history?taxnode_id=201853051","ICTVonline=201853051")</f>
        <v>ICTVonline=201853051</v>
      </c>
      <c r="AA1380" s="1">
        <v>201850000</v>
      </c>
      <c r="AB1380" s="1">
        <v>34</v>
      </c>
    </row>
    <row r="1381" spans="1:28" x14ac:dyDescent="0.15">
      <c r="A1381" s="1">
        <v>3685</v>
      </c>
      <c r="B1381" s="1" t="s">
        <v>7159</v>
      </c>
      <c r="L1381" s="1" t="s">
        <v>1639</v>
      </c>
      <c r="N1381" s="1" t="s">
        <v>4096</v>
      </c>
      <c r="P1381" s="1" t="s">
        <v>4675</v>
      </c>
      <c r="Q1381" s="3">
        <v>0</v>
      </c>
      <c r="S1381" s="23" t="s">
        <v>5949</v>
      </c>
      <c r="T1381" s="23" t="s">
        <v>4931</v>
      </c>
      <c r="U1381" s="3">
        <v>34</v>
      </c>
      <c r="W1381" s="45" t="str">
        <f>HYPERLINK("http://ictvonline.org/taxonomy/p/taxonomy-history?taxnode_id=201853052","ICTVonline=201853052")</f>
        <v>ICTVonline=201853052</v>
      </c>
      <c r="AA1381" s="1">
        <v>201850000</v>
      </c>
      <c r="AB1381" s="1">
        <v>34</v>
      </c>
    </row>
    <row r="1382" spans="1:28" x14ac:dyDescent="0.15">
      <c r="A1382" s="1">
        <v>3687</v>
      </c>
      <c r="B1382" s="1" t="s">
        <v>7159</v>
      </c>
      <c r="L1382" s="1" t="s">
        <v>1639</v>
      </c>
      <c r="N1382" s="1" t="s">
        <v>4096</v>
      </c>
      <c r="P1382" s="1" t="s">
        <v>4676</v>
      </c>
      <c r="Q1382" s="3">
        <v>0</v>
      </c>
      <c r="S1382" s="23" t="s">
        <v>5949</v>
      </c>
      <c r="T1382" s="23" t="s">
        <v>4931</v>
      </c>
      <c r="U1382" s="3">
        <v>34</v>
      </c>
      <c r="W1382" s="45" t="str">
        <f>HYPERLINK("http://ictvonline.org/taxonomy/p/taxonomy-history?taxnode_id=201853053","ICTVonline=201853053")</f>
        <v>ICTVonline=201853053</v>
      </c>
      <c r="AA1382" s="1">
        <v>201850000</v>
      </c>
      <c r="AB1382" s="1">
        <v>34</v>
      </c>
    </row>
    <row r="1383" spans="1:28" x14ac:dyDescent="0.15">
      <c r="A1383" s="1">
        <v>3689</v>
      </c>
      <c r="B1383" s="1" t="s">
        <v>7159</v>
      </c>
      <c r="L1383" s="1" t="s">
        <v>1639</v>
      </c>
      <c r="N1383" s="1" t="s">
        <v>4096</v>
      </c>
      <c r="P1383" s="1" t="s">
        <v>4100</v>
      </c>
      <c r="Q1383" s="3">
        <v>0</v>
      </c>
      <c r="S1383" s="23" t="s">
        <v>5949</v>
      </c>
      <c r="T1383" s="23" t="s">
        <v>4931</v>
      </c>
      <c r="U1383" s="3">
        <v>34</v>
      </c>
      <c r="W1383" s="45" t="str">
        <f>HYPERLINK("http://ictvonline.org/taxonomy/p/taxonomy-history?taxnode_id=201853054","ICTVonline=201853054")</f>
        <v>ICTVonline=201853054</v>
      </c>
      <c r="AA1383" s="1">
        <v>201850000</v>
      </c>
      <c r="AB1383" s="1">
        <v>34</v>
      </c>
    </row>
    <row r="1384" spans="1:28" x14ac:dyDescent="0.15">
      <c r="A1384" s="1">
        <v>3691</v>
      </c>
      <c r="B1384" s="1" t="s">
        <v>7159</v>
      </c>
      <c r="L1384" s="1" t="s">
        <v>1639</v>
      </c>
      <c r="N1384" s="1" t="s">
        <v>4096</v>
      </c>
      <c r="P1384" s="1" t="s">
        <v>4101</v>
      </c>
      <c r="Q1384" s="3">
        <v>1</v>
      </c>
      <c r="S1384" s="23" t="s">
        <v>5949</v>
      </c>
      <c r="T1384" s="23" t="s">
        <v>4931</v>
      </c>
      <c r="U1384" s="3">
        <v>34</v>
      </c>
      <c r="W1384" s="45" t="str">
        <f>HYPERLINK("http://ictvonline.org/taxonomy/p/taxonomy-history?taxnode_id=201853055","ICTVonline=201853055")</f>
        <v>ICTVonline=201853055</v>
      </c>
      <c r="AA1384" s="1">
        <v>201850000</v>
      </c>
      <c r="AB1384" s="1">
        <v>34</v>
      </c>
    </row>
    <row r="1385" spans="1:28" x14ac:dyDescent="0.15">
      <c r="A1385" s="1">
        <v>3693</v>
      </c>
      <c r="B1385" s="1" t="s">
        <v>7159</v>
      </c>
      <c r="L1385" s="1" t="s">
        <v>1639</v>
      </c>
      <c r="N1385" s="1" t="s">
        <v>4096</v>
      </c>
      <c r="P1385" s="1" t="s">
        <v>4102</v>
      </c>
      <c r="Q1385" s="3">
        <v>0</v>
      </c>
      <c r="S1385" s="23" t="s">
        <v>5949</v>
      </c>
      <c r="T1385" s="23" t="s">
        <v>4931</v>
      </c>
      <c r="U1385" s="3">
        <v>34</v>
      </c>
      <c r="W1385" s="45" t="str">
        <f>HYPERLINK("http://ictvonline.org/taxonomy/p/taxonomy-history?taxnode_id=201853056","ICTVonline=201853056")</f>
        <v>ICTVonline=201853056</v>
      </c>
      <c r="AA1385" s="1">
        <v>201850000</v>
      </c>
      <c r="AB1385" s="1">
        <v>34</v>
      </c>
    </row>
    <row r="1386" spans="1:28" x14ac:dyDescent="0.15">
      <c r="A1386" s="1">
        <v>3695</v>
      </c>
      <c r="B1386" s="1" t="s">
        <v>7159</v>
      </c>
      <c r="L1386" s="1" t="s">
        <v>1639</v>
      </c>
      <c r="N1386" s="1" t="s">
        <v>4096</v>
      </c>
      <c r="P1386" s="1" t="s">
        <v>4103</v>
      </c>
      <c r="Q1386" s="3">
        <v>0</v>
      </c>
      <c r="S1386" s="23" t="s">
        <v>5949</v>
      </c>
      <c r="T1386" s="23" t="s">
        <v>4931</v>
      </c>
      <c r="U1386" s="3">
        <v>34</v>
      </c>
      <c r="W1386" s="45" t="str">
        <f>HYPERLINK("http://ictvonline.org/taxonomy/p/taxonomy-history?taxnode_id=201853057","ICTVonline=201853057")</f>
        <v>ICTVonline=201853057</v>
      </c>
      <c r="AA1386" s="1">
        <v>201850000</v>
      </c>
      <c r="AB1386" s="1">
        <v>34</v>
      </c>
    </row>
    <row r="1387" spans="1:28" x14ac:dyDescent="0.15">
      <c r="A1387" s="1">
        <v>3697</v>
      </c>
      <c r="B1387" s="1" t="s">
        <v>7159</v>
      </c>
      <c r="L1387" s="1" t="s">
        <v>1639</v>
      </c>
      <c r="N1387" s="1" t="s">
        <v>4096</v>
      </c>
      <c r="P1387" s="1" t="s">
        <v>4104</v>
      </c>
      <c r="Q1387" s="3">
        <v>0</v>
      </c>
      <c r="S1387" s="23" t="s">
        <v>5949</v>
      </c>
      <c r="T1387" s="23" t="s">
        <v>4931</v>
      </c>
      <c r="U1387" s="3">
        <v>34</v>
      </c>
      <c r="W1387" s="45" t="str">
        <f>HYPERLINK("http://ictvonline.org/taxonomy/p/taxonomy-history?taxnode_id=201853058","ICTVonline=201853058")</f>
        <v>ICTVonline=201853058</v>
      </c>
      <c r="AA1387" s="1">
        <v>201850000</v>
      </c>
      <c r="AB1387" s="1">
        <v>34</v>
      </c>
    </row>
    <row r="1388" spans="1:28" x14ac:dyDescent="0.15">
      <c r="A1388" s="1">
        <v>3699</v>
      </c>
      <c r="B1388" s="1" t="s">
        <v>7159</v>
      </c>
      <c r="L1388" s="1" t="s">
        <v>1639</v>
      </c>
      <c r="N1388" s="1" t="s">
        <v>4096</v>
      </c>
      <c r="P1388" s="1" t="s">
        <v>4105</v>
      </c>
      <c r="Q1388" s="3">
        <v>0</v>
      </c>
      <c r="S1388" s="23" t="s">
        <v>5949</v>
      </c>
      <c r="T1388" s="23" t="s">
        <v>4931</v>
      </c>
      <c r="U1388" s="3">
        <v>34</v>
      </c>
      <c r="W1388" s="45" t="str">
        <f>HYPERLINK("http://ictvonline.org/taxonomy/p/taxonomy-history?taxnode_id=201853059","ICTVonline=201853059")</f>
        <v>ICTVonline=201853059</v>
      </c>
      <c r="AA1388" s="1">
        <v>201850000</v>
      </c>
      <c r="AB1388" s="1">
        <v>34</v>
      </c>
    </row>
    <row r="1389" spans="1:28" x14ac:dyDescent="0.15">
      <c r="A1389" s="1">
        <v>3701</v>
      </c>
      <c r="B1389" s="1" t="s">
        <v>7159</v>
      </c>
      <c r="L1389" s="1" t="s">
        <v>1639</v>
      </c>
      <c r="N1389" s="1" t="s">
        <v>4096</v>
      </c>
      <c r="P1389" s="1" t="s">
        <v>4677</v>
      </c>
      <c r="Q1389" s="3">
        <v>0</v>
      </c>
      <c r="S1389" s="23" t="s">
        <v>5949</v>
      </c>
      <c r="T1389" s="23" t="s">
        <v>4931</v>
      </c>
      <c r="U1389" s="3">
        <v>34</v>
      </c>
      <c r="W1389" s="45" t="str">
        <f>HYPERLINK("http://ictvonline.org/taxonomy/p/taxonomy-history?taxnode_id=201853060","ICTVonline=201853060")</f>
        <v>ICTVonline=201853060</v>
      </c>
      <c r="AA1389" s="1">
        <v>201850000</v>
      </c>
      <c r="AB1389" s="1">
        <v>34</v>
      </c>
    </row>
    <row r="1390" spans="1:28" x14ac:dyDescent="0.15">
      <c r="A1390" s="1">
        <v>3703</v>
      </c>
      <c r="B1390" s="1" t="s">
        <v>7159</v>
      </c>
      <c r="L1390" s="1" t="s">
        <v>1639</v>
      </c>
      <c r="N1390" s="1" t="s">
        <v>4096</v>
      </c>
      <c r="P1390" s="1" t="s">
        <v>4106</v>
      </c>
      <c r="Q1390" s="3">
        <v>0</v>
      </c>
      <c r="S1390" s="23" t="s">
        <v>5949</v>
      </c>
      <c r="T1390" s="23" t="s">
        <v>4931</v>
      </c>
      <c r="U1390" s="3">
        <v>34</v>
      </c>
      <c r="W1390" s="45" t="str">
        <f>HYPERLINK("http://ictvonline.org/taxonomy/p/taxonomy-history?taxnode_id=201853061","ICTVonline=201853061")</f>
        <v>ICTVonline=201853061</v>
      </c>
      <c r="AA1390" s="1">
        <v>201850000</v>
      </c>
      <c r="AB1390" s="1">
        <v>34</v>
      </c>
    </row>
    <row r="1391" spans="1:28" x14ac:dyDescent="0.15">
      <c r="A1391" s="1">
        <v>3705</v>
      </c>
      <c r="B1391" s="1" t="s">
        <v>7159</v>
      </c>
      <c r="L1391" s="1" t="s">
        <v>1639</v>
      </c>
      <c r="N1391" s="1" t="s">
        <v>4096</v>
      </c>
      <c r="P1391" s="1" t="s">
        <v>5357</v>
      </c>
      <c r="Q1391" s="3">
        <v>0</v>
      </c>
      <c r="S1391" s="23" t="s">
        <v>5949</v>
      </c>
      <c r="T1391" s="23" t="s">
        <v>4931</v>
      </c>
      <c r="U1391" s="3">
        <v>34</v>
      </c>
      <c r="W1391" s="45" t="str">
        <f>HYPERLINK("http://ictvonline.org/taxonomy/p/taxonomy-history?taxnode_id=201855778","ICTVonline=201855778")</f>
        <v>ICTVonline=201855778</v>
      </c>
      <c r="AA1391" s="1">
        <v>201850000</v>
      </c>
      <c r="AB1391" s="1">
        <v>34</v>
      </c>
    </row>
    <row r="1392" spans="1:28" x14ac:dyDescent="0.15">
      <c r="A1392" s="1">
        <v>3707</v>
      </c>
      <c r="B1392" s="1" t="s">
        <v>7159</v>
      </c>
      <c r="L1392" s="1" t="s">
        <v>1639</v>
      </c>
      <c r="N1392" s="1" t="s">
        <v>4096</v>
      </c>
      <c r="P1392" s="1" t="s">
        <v>4107</v>
      </c>
      <c r="Q1392" s="3">
        <v>0</v>
      </c>
      <c r="S1392" s="23" t="s">
        <v>5949</v>
      </c>
      <c r="T1392" s="23" t="s">
        <v>4931</v>
      </c>
      <c r="U1392" s="3">
        <v>34</v>
      </c>
      <c r="W1392" s="45" t="str">
        <f>HYPERLINK("http://ictvonline.org/taxonomy/p/taxonomy-history?taxnode_id=201853062","ICTVonline=201853062")</f>
        <v>ICTVonline=201853062</v>
      </c>
      <c r="AA1392" s="1">
        <v>201850000</v>
      </c>
      <c r="AB1392" s="1">
        <v>34</v>
      </c>
    </row>
    <row r="1393" spans="1:28" x14ac:dyDescent="0.15">
      <c r="A1393" s="1">
        <v>3711</v>
      </c>
      <c r="B1393" s="1" t="s">
        <v>7159</v>
      </c>
      <c r="L1393" s="1" t="s">
        <v>1639</v>
      </c>
      <c r="N1393" s="1" t="s">
        <v>4133</v>
      </c>
      <c r="P1393" s="1" t="s">
        <v>4678</v>
      </c>
      <c r="Q1393" s="3">
        <v>0</v>
      </c>
      <c r="S1393" s="23" t="s">
        <v>5949</v>
      </c>
      <c r="T1393" s="23" t="s">
        <v>4931</v>
      </c>
      <c r="U1393" s="3">
        <v>34</v>
      </c>
      <c r="W1393" s="45" t="str">
        <f>HYPERLINK("http://ictvonline.org/taxonomy/p/taxonomy-history?taxnode_id=201853064","ICTVonline=201853064")</f>
        <v>ICTVonline=201853064</v>
      </c>
      <c r="AA1393" s="1">
        <v>201850000</v>
      </c>
      <c r="AB1393" s="1">
        <v>34</v>
      </c>
    </row>
    <row r="1394" spans="1:28" x14ac:dyDescent="0.15">
      <c r="A1394" s="1">
        <v>3713</v>
      </c>
      <c r="B1394" s="1" t="s">
        <v>7159</v>
      </c>
      <c r="L1394" s="1" t="s">
        <v>1639</v>
      </c>
      <c r="N1394" s="1" t="s">
        <v>4133</v>
      </c>
      <c r="P1394" s="1" t="s">
        <v>5358</v>
      </c>
      <c r="Q1394" s="3">
        <v>0</v>
      </c>
      <c r="S1394" s="23" t="s">
        <v>5949</v>
      </c>
      <c r="T1394" s="23" t="s">
        <v>4931</v>
      </c>
      <c r="U1394" s="3">
        <v>34</v>
      </c>
      <c r="W1394" s="45" t="str">
        <f>HYPERLINK("http://ictvonline.org/taxonomy/p/taxonomy-history?taxnode_id=201855779","ICTVonline=201855779")</f>
        <v>ICTVonline=201855779</v>
      </c>
      <c r="AA1394" s="1">
        <v>201850000</v>
      </c>
      <c r="AB1394" s="1">
        <v>34</v>
      </c>
    </row>
    <row r="1395" spans="1:28" x14ac:dyDescent="0.15">
      <c r="A1395" s="1">
        <v>3715</v>
      </c>
      <c r="B1395" s="1" t="s">
        <v>7159</v>
      </c>
      <c r="L1395" s="1" t="s">
        <v>1639</v>
      </c>
      <c r="N1395" s="1" t="s">
        <v>4133</v>
      </c>
      <c r="P1395" s="1" t="s">
        <v>4679</v>
      </c>
      <c r="Q1395" s="3">
        <v>0</v>
      </c>
      <c r="S1395" s="23" t="s">
        <v>5949</v>
      </c>
      <c r="T1395" s="23" t="s">
        <v>4931</v>
      </c>
      <c r="U1395" s="3">
        <v>34</v>
      </c>
      <c r="W1395" s="45" t="str">
        <f>HYPERLINK("http://ictvonline.org/taxonomy/p/taxonomy-history?taxnode_id=201853065","ICTVonline=201853065")</f>
        <v>ICTVonline=201853065</v>
      </c>
      <c r="AA1395" s="1">
        <v>201850000</v>
      </c>
      <c r="AB1395" s="1">
        <v>34</v>
      </c>
    </row>
    <row r="1396" spans="1:28" x14ac:dyDescent="0.15">
      <c r="A1396" s="1">
        <v>3717</v>
      </c>
      <c r="B1396" s="1" t="s">
        <v>7159</v>
      </c>
      <c r="L1396" s="1" t="s">
        <v>1639</v>
      </c>
      <c r="N1396" s="1" t="s">
        <v>4133</v>
      </c>
      <c r="P1396" s="1" t="s">
        <v>4134</v>
      </c>
      <c r="Q1396" s="3">
        <v>1</v>
      </c>
      <c r="S1396" s="23" t="s">
        <v>5949</v>
      </c>
      <c r="T1396" s="23" t="s">
        <v>4931</v>
      </c>
      <c r="U1396" s="3">
        <v>34</v>
      </c>
      <c r="W1396" s="45" t="str">
        <f>HYPERLINK("http://ictvonline.org/taxonomy/p/taxonomy-history?taxnode_id=201853066","ICTVonline=201853066")</f>
        <v>ICTVonline=201853066</v>
      </c>
      <c r="AA1396" s="1">
        <v>201850000</v>
      </c>
      <c r="AB1396" s="1">
        <v>34</v>
      </c>
    </row>
    <row r="1397" spans="1:28" x14ac:dyDescent="0.15">
      <c r="A1397" s="1">
        <v>3719</v>
      </c>
      <c r="B1397" s="1" t="s">
        <v>7159</v>
      </c>
      <c r="L1397" s="1" t="s">
        <v>1639</v>
      </c>
      <c r="N1397" s="1" t="s">
        <v>4133</v>
      </c>
      <c r="P1397" s="1" t="s">
        <v>4680</v>
      </c>
      <c r="Q1397" s="3">
        <v>0</v>
      </c>
      <c r="S1397" s="23" t="s">
        <v>5949</v>
      </c>
      <c r="T1397" s="23" t="s">
        <v>4931</v>
      </c>
      <c r="U1397" s="3">
        <v>34</v>
      </c>
      <c r="W1397" s="45" t="str">
        <f>HYPERLINK("http://ictvonline.org/taxonomy/p/taxonomy-history?taxnode_id=201853067","ICTVonline=201853067")</f>
        <v>ICTVonline=201853067</v>
      </c>
      <c r="AA1397" s="1">
        <v>201850000</v>
      </c>
      <c r="AB1397" s="1">
        <v>34</v>
      </c>
    </row>
    <row r="1398" spans="1:28" x14ac:dyDescent="0.15">
      <c r="A1398" s="1">
        <v>3725</v>
      </c>
      <c r="B1398" s="1" t="s">
        <v>7159</v>
      </c>
      <c r="L1398" s="1" t="s">
        <v>1133</v>
      </c>
      <c r="N1398" s="1" t="s">
        <v>1134</v>
      </c>
      <c r="P1398" s="1" t="s">
        <v>1135</v>
      </c>
      <c r="Q1398" s="3">
        <v>0</v>
      </c>
      <c r="S1398" s="23" t="s">
        <v>5949</v>
      </c>
      <c r="T1398" s="23" t="s">
        <v>4931</v>
      </c>
      <c r="U1398" s="3">
        <v>34</v>
      </c>
      <c r="W1398" s="45" t="str">
        <f>HYPERLINK("http://ictvonline.org/taxonomy/p/taxonomy-history?taxnode_id=201853071","ICTVonline=201853071")</f>
        <v>ICTVonline=201853071</v>
      </c>
      <c r="AA1398" s="1">
        <v>201850000</v>
      </c>
      <c r="AB1398" s="1">
        <v>34</v>
      </c>
    </row>
    <row r="1399" spans="1:28" x14ac:dyDescent="0.15">
      <c r="A1399" s="1">
        <v>3727</v>
      </c>
      <c r="B1399" s="1" t="s">
        <v>7159</v>
      </c>
      <c r="L1399" s="1" t="s">
        <v>1133</v>
      </c>
      <c r="N1399" s="1" t="s">
        <v>1134</v>
      </c>
      <c r="P1399" s="1" t="s">
        <v>1136</v>
      </c>
      <c r="Q1399" s="3">
        <v>0</v>
      </c>
      <c r="S1399" s="23" t="s">
        <v>5949</v>
      </c>
      <c r="T1399" s="23" t="s">
        <v>4931</v>
      </c>
      <c r="U1399" s="3">
        <v>34</v>
      </c>
      <c r="W1399" s="45" t="str">
        <f>HYPERLINK("http://ictvonline.org/taxonomy/p/taxonomy-history?taxnode_id=201853072","ICTVonline=201853072")</f>
        <v>ICTVonline=201853072</v>
      </c>
      <c r="AA1399" s="1">
        <v>201850000</v>
      </c>
      <c r="AB1399" s="1">
        <v>34</v>
      </c>
    </row>
    <row r="1400" spans="1:28" x14ac:dyDescent="0.15">
      <c r="A1400" s="1">
        <v>3729</v>
      </c>
      <c r="B1400" s="1" t="s">
        <v>7159</v>
      </c>
      <c r="L1400" s="1" t="s">
        <v>1133</v>
      </c>
      <c r="N1400" s="1" t="s">
        <v>1134</v>
      </c>
      <c r="P1400" s="1" t="s">
        <v>1137</v>
      </c>
      <c r="Q1400" s="3">
        <v>0</v>
      </c>
      <c r="S1400" s="23" t="s">
        <v>5949</v>
      </c>
      <c r="T1400" s="23" t="s">
        <v>4931</v>
      </c>
      <c r="U1400" s="3">
        <v>34</v>
      </c>
      <c r="W1400" s="45" t="str">
        <f>HYPERLINK("http://ictvonline.org/taxonomy/p/taxonomy-history?taxnode_id=201853073","ICTVonline=201853073")</f>
        <v>ICTVonline=201853073</v>
      </c>
      <c r="AA1400" s="1">
        <v>201850000</v>
      </c>
      <c r="AB1400" s="1">
        <v>34</v>
      </c>
    </row>
    <row r="1401" spans="1:28" x14ac:dyDescent="0.15">
      <c r="A1401" s="1">
        <v>3731</v>
      </c>
      <c r="B1401" s="1" t="s">
        <v>7159</v>
      </c>
      <c r="L1401" s="1" t="s">
        <v>1133</v>
      </c>
      <c r="N1401" s="1" t="s">
        <v>1134</v>
      </c>
      <c r="P1401" s="1" t="s">
        <v>1138</v>
      </c>
      <c r="Q1401" s="3">
        <v>0</v>
      </c>
      <c r="S1401" s="23" t="s">
        <v>5949</v>
      </c>
      <c r="T1401" s="23" t="s">
        <v>4931</v>
      </c>
      <c r="U1401" s="3">
        <v>34</v>
      </c>
      <c r="W1401" s="45" t="str">
        <f>HYPERLINK("http://ictvonline.org/taxonomy/p/taxonomy-history?taxnode_id=201853074","ICTVonline=201853074")</f>
        <v>ICTVonline=201853074</v>
      </c>
      <c r="AA1401" s="1">
        <v>201850000</v>
      </c>
      <c r="AB1401" s="1">
        <v>34</v>
      </c>
    </row>
    <row r="1402" spans="1:28" x14ac:dyDescent="0.15">
      <c r="A1402" s="1">
        <v>3733</v>
      </c>
      <c r="B1402" s="1" t="s">
        <v>7159</v>
      </c>
      <c r="L1402" s="1" t="s">
        <v>1133</v>
      </c>
      <c r="N1402" s="1" t="s">
        <v>1134</v>
      </c>
      <c r="P1402" s="1" t="s">
        <v>1139</v>
      </c>
      <c r="Q1402" s="3">
        <v>0</v>
      </c>
      <c r="S1402" s="23" t="s">
        <v>5949</v>
      </c>
      <c r="T1402" s="23" t="s">
        <v>4931</v>
      </c>
      <c r="U1402" s="3">
        <v>34</v>
      </c>
      <c r="W1402" s="45" t="str">
        <f>HYPERLINK("http://ictvonline.org/taxonomy/p/taxonomy-history?taxnode_id=201853075","ICTVonline=201853075")</f>
        <v>ICTVonline=201853075</v>
      </c>
      <c r="AA1402" s="1">
        <v>201850000</v>
      </c>
      <c r="AB1402" s="1">
        <v>34</v>
      </c>
    </row>
    <row r="1403" spans="1:28" x14ac:dyDescent="0.15">
      <c r="A1403" s="1">
        <v>3735</v>
      </c>
      <c r="B1403" s="1" t="s">
        <v>7159</v>
      </c>
      <c r="L1403" s="1" t="s">
        <v>1133</v>
      </c>
      <c r="N1403" s="1" t="s">
        <v>1134</v>
      </c>
      <c r="P1403" s="1" t="s">
        <v>1140</v>
      </c>
      <c r="Q1403" s="3">
        <v>0</v>
      </c>
      <c r="S1403" s="23" t="s">
        <v>5949</v>
      </c>
      <c r="T1403" s="23" t="s">
        <v>4931</v>
      </c>
      <c r="U1403" s="3">
        <v>34</v>
      </c>
      <c r="W1403" s="45" t="str">
        <f>HYPERLINK("http://ictvonline.org/taxonomy/p/taxonomy-history?taxnode_id=201853076","ICTVonline=201853076")</f>
        <v>ICTVonline=201853076</v>
      </c>
      <c r="AA1403" s="1">
        <v>201850000</v>
      </c>
      <c r="AB1403" s="1">
        <v>34</v>
      </c>
    </row>
    <row r="1404" spans="1:28" x14ac:dyDescent="0.15">
      <c r="A1404" s="1">
        <v>3737</v>
      </c>
      <c r="B1404" s="1" t="s">
        <v>7159</v>
      </c>
      <c r="L1404" s="1" t="s">
        <v>1133</v>
      </c>
      <c r="N1404" s="1" t="s">
        <v>1134</v>
      </c>
      <c r="P1404" s="1" t="s">
        <v>1644</v>
      </c>
      <c r="Q1404" s="3">
        <v>0</v>
      </c>
      <c r="S1404" s="23" t="s">
        <v>5949</v>
      </c>
      <c r="T1404" s="23" t="s">
        <v>4931</v>
      </c>
      <c r="U1404" s="3">
        <v>34</v>
      </c>
      <c r="W1404" s="45" t="str">
        <f>HYPERLINK("http://ictvonline.org/taxonomy/p/taxonomy-history?taxnode_id=201853077","ICTVonline=201853077")</f>
        <v>ICTVonline=201853077</v>
      </c>
      <c r="AA1404" s="1">
        <v>201850000</v>
      </c>
      <c r="AB1404" s="1">
        <v>34</v>
      </c>
    </row>
    <row r="1405" spans="1:28" x14ac:dyDescent="0.15">
      <c r="A1405" s="1">
        <v>3739</v>
      </c>
      <c r="B1405" s="1" t="s">
        <v>7159</v>
      </c>
      <c r="L1405" s="1" t="s">
        <v>1133</v>
      </c>
      <c r="N1405" s="1" t="s">
        <v>1134</v>
      </c>
      <c r="P1405" s="1" t="s">
        <v>1645</v>
      </c>
      <c r="Q1405" s="3">
        <v>0</v>
      </c>
      <c r="S1405" s="23" t="s">
        <v>5949</v>
      </c>
      <c r="T1405" s="23" t="s">
        <v>4931</v>
      </c>
      <c r="U1405" s="3">
        <v>34</v>
      </c>
      <c r="W1405" s="45" t="str">
        <f>HYPERLINK("http://ictvonline.org/taxonomy/p/taxonomy-history?taxnode_id=201853078","ICTVonline=201853078")</f>
        <v>ICTVonline=201853078</v>
      </c>
      <c r="AA1405" s="1">
        <v>201850000</v>
      </c>
      <c r="AB1405" s="1">
        <v>34</v>
      </c>
    </row>
    <row r="1406" spans="1:28" x14ac:dyDescent="0.15">
      <c r="A1406" s="1">
        <v>3741</v>
      </c>
      <c r="B1406" s="1" t="s">
        <v>7159</v>
      </c>
      <c r="L1406" s="1" t="s">
        <v>1133</v>
      </c>
      <c r="N1406" s="1" t="s">
        <v>1134</v>
      </c>
      <c r="P1406" s="1" t="s">
        <v>1646</v>
      </c>
      <c r="Q1406" s="3">
        <v>0</v>
      </c>
      <c r="S1406" s="23" t="s">
        <v>5949</v>
      </c>
      <c r="T1406" s="23" t="s">
        <v>4931</v>
      </c>
      <c r="U1406" s="3">
        <v>34</v>
      </c>
      <c r="W1406" s="45" t="str">
        <f>HYPERLINK("http://ictvonline.org/taxonomy/p/taxonomy-history?taxnode_id=201853079","ICTVonline=201853079")</f>
        <v>ICTVonline=201853079</v>
      </c>
      <c r="AA1406" s="1">
        <v>201850000</v>
      </c>
      <c r="AB1406" s="1">
        <v>34</v>
      </c>
    </row>
    <row r="1407" spans="1:28" x14ac:dyDescent="0.15">
      <c r="A1407" s="1">
        <v>3743</v>
      </c>
      <c r="B1407" s="1" t="s">
        <v>7159</v>
      </c>
      <c r="L1407" s="1" t="s">
        <v>1133</v>
      </c>
      <c r="N1407" s="1" t="s">
        <v>1134</v>
      </c>
      <c r="P1407" s="1" t="s">
        <v>1647</v>
      </c>
      <c r="Q1407" s="3">
        <v>0</v>
      </c>
      <c r="S1407" s="23" t="s">
        <v>5949</v>
      </c>
      <c r="T1407" s="23" t="s">
        <v>4931</v>
      </c>
      <c r="U1407" s="3">
        <v>34</v>
      </c>
      <c r="W1407" s="45" t="str">
        <f>HYPERLINK("http://ictvonline.org/taxonomy/p/taxonomy-history?taxnode_id=201853080","ICTVonline=201853080")</f>
        <v>ICTVonline=201853080</v>
      </c>
      <c r="AA1407" s="1">
        <v>201850000</v>
      </c>
      <c r="AB1407" s="1">
        <v>34</v>
      </c>
    </row>
    <row r="1408" spans="1:28" x14ac:dyDescent="0.15">
      <c r="A1408" s="1">
        <v>3745</v>
      </c>
      <c r="B1408" s="1" t="s">
        <v>7159</v>
      </c>
      <c r="L1408" s="1" t="s">
        <v>1133</v>
      </c>
      <c r="N1408" s="1" t="s">
        <v>1134</v>
      </c>
      <c r="P1408" s="1" t="s">
        <v>1648</v>
      </c>
      <c r="Q1408" s="3">
        <v>0</v>
      </c>
      <c r="S1408" s="23" t="s">
        <v>5949</v>
      </c>
      <c r="T1408" s="23" t="s">
        <v>4931</v>
      </c>
      <c r="U1408" s="3">
        <v>34</v>
      </c>
      <c r="W1408" s="45" t="str">
        <f>HYPERLINK("http://ictvonline.org/taxonomy/p/taxonomy-history?taxnode_id=201853081","ICTVonline=201853081")</f>
        <v>ICTVonline=201853081</v>
      </c>
      <c r="AA1408" s="1">
        <v>201850000</v>
      </c>
      <c r="AB1408" s="1">
        <v>34</v>
      </c>
    </row>
    <row r="1409" spans="1:28" x14ac:dyDescent="0.15">
      <c r="A1409" s="1">
        <v>3747</v>
      </c>
      <c r="B1409" s="1" t="s">
        <v>7159</v>
      </c>
      <c r="L1409" s="1" t="s">
        <v>1133</v>
      </c>
      <c r="N1409" s="1" t="s">
        <v>1134</v>
      </c>
      <c r="P1409" s="1" t="s">
        <v>1649</v>
      </c>
      <c r="Q1409" s="3">
        <v>0</v>
      </c>
      <c r="S1409" s="23" t="s">
        <v>5949</v>
      </c>
      <c r="T1409" s="23" t="s">
        <v>4931</v>
      </c>
      <c r="U1409" s="3">
        <v>34</v>
      </c>
      <c r="W1409" s="45" t="str">
        <f>HYPERLINK("http://ictvonline.org/taxonomy/p/taxonomy-history?taxnode_id=201853082","ICTVonline=201853082")</f>
        <v>ICTVonline=201853082</v>
      </c>
      <c r="AA1409" s="1">
        <v>201850000</v>
      </c>
      <c r="AB1409" s="1">
        <v>34</v>
      </c>
    </row>
    <row r="1410" spans="1:28" x14ac:dyDescent="0.15">
      <c r="A1410" s="1">
        <v>3749</v>
      </c>
      <c r="B1410" s="1" t="s">
        <v>7159</v>
      </c>
      <c r="L1410" s="1" t="s">
        <v>1133</v>
      </c>
      <c r="N1410" s="1" t="s">
        <v>1134</v>
      </c>
      <c r="P1410" s="1" t="s">
        <v>1650</v>
      </c>
      <c r="Q1410" s="3">
        <v>0</v>
      </c>
      <c r="S1410" s="23" t="s">
        <v>5949</v>
      </c>
      <c r="T1410" s="23" t="s">
        <v>4931</v>
      </c>
      <c r="U1410" s="3">
        <v>34</v>
      </c>
      <c r="W1410" s="45" t="str">
        <f>HYPERLINK("http://ictvonline.org/taxonomy/p/taxonomy-history?taxnode_id=201853083","ICTVonline=201853083")</f>
        <v>ICTVonline=201853083</v>
      </c>
      <c r="AA1410" s="1">
        <v>201850000</v>
      </c>
      <c r="AB1410" s="1">
        <v>34</v>
      </c>
    </row>
    <row r="1411" spans="1:28" x14ac:dyDescent="0.15">
      <c r="A1411" s="1">
        <v>3751</v>
      </c>
      <c r="B1411" s="1" t="s">
        <v>7159</v>
      </c>
      <c r="L1411" s="1" t="s">
        <v>1133</v>
      </c>
      <c r="N1411" s="1" t="s">
        <v>1134</v>
      </c>
      <c r="P1411" s="1" t="s">
        <v>1651</v>
      </c>
      <c r="Q1411" s="3">
        <v>0</v>
      </c>
      <c r="S1411" s="23" t="s">
        <v>5949</v>
      </c>
      <c r="T1411" s="23" t="s">
        <v>4931</v>
      </c>
      <c r="U1411" s="3">
        <v>34</v>
      </c>
      <c r="W1411" s="45" t="str">
        <f>HYPERLINK("http://ictvonline.org/taxonomy/p/taxonomy-history?taxnode_id=201853084","ICTVonline=201853084")</f>
        <v>ICTVonline=201853084</v>
      </c>
      <c r="AA1411" s="1">
        <v>201850000</v>
      </c>
      <c r="AB1411" s="1">
        <v>34</v>
      </c>
    </row>
    <row r="1412" spans="1:28" x14ac:dyDescent="0.15">
      <c r="A1412" s="1">
        <v>3753</v>
      </c>
      <c r="B1412" s="1" t="s">
        <v>7159</v>
      </c>
      <c r="L1412" s="1" t="s">
        <v>1133</v>
      </c>
      <c r="N1412" s="1" t="s">
        <v>1134</v>
      </c>
      <c r="P1412" s="1" t="s">
        <v>1652</v>
      </c>
      <c r="Q1412" s="3">
        <v>0</v>
      </c>
      <c r="S1412" s="23" t="s">
        <v>5949</v>
      </c>
      <c r="T1412" s="23" t="s">
        <v>4931</v>
      </c>
      <c r="U1412" s="3">
        <v>34</v>
      </c>
      <c r="W1412" s="45" t="str">
        <f>HYPERLINK("http://ictvonline.org/taxonomy/p/taxonomy-history?taxnode_id=201853085","ICTVonline=201853085")</f>
        <v>ICTVonline=201853085</v>
      </c>
      <c r="AA1412" s="1">
        <v>201850000</v>
      </c>
      <c r="AB1412" s="1">
        <v>34</v>
      </c>
    </row>
    <row r="1413" spans="1:28" x14ac:dyDescent="0.15">
      <c r="A1413" s="1">
        <v>3755</v>
      </c>
      <c r="B1413" s="1" t="s">
        <v>7159</v>
      </c>
      <c r="L1413" s="1" t="s">
        <v>1133</v>
      </c>
      <c r="N1413" s="1" t="s">
        <v>1134</v>
      </c>
      <c r="P1413" s="1" t="s">
        <v>1653</v>
      </c>
      <c r="Q1413" s="3">
        <v>0</v>
      </c>
      <c r="S1413" s="23" t="s">
        <v>5949</v>
      </c>
      <c r="T1413" s="23" t="s">
        <v>4931</v>
      </c>
      <c r="U1413" s="3">
        <v>34</v>
      </c>
      <c r="W1413" s="45" t="str">
        <f>HYPERLINK("http://ictvonline.org/taxonomy/p/taxonomy-history?taxnode_id=201853086","ICTVonline=201853086")</f>
        <v>ICTVonline=201853086</v>
      </c>
      <c r="AA1413" s="1">
        <v>201850000</v>
      </c>
      <c r="AB1413" s="1">
        <v>34</v>
      </c>
    </row>
    <row r="1414" spans="1:28" x14ac:dyDescent="0.15">
      <c r="A1414" s="1">
        <v>3757</v>
      </c>
      <c r="B1414" s="1" t="s">
        <v>7159</v>
      </c>
      <c r="L1414" s="1" t="s">
        <v>1133</v>
      </c>
      <c r="N1414" s="1" t="s">
        <v>1134</v>
      </c>
      <c r="P1414" s="1" t="s">
        <v>1654</v>
      </c>
      <c r="Q1414" s="3">
        <v>0</v>
      </c>
      <c r="S1414" s="23" t="s">
        <v>5949</v>
      </c>
      <c r="T1414" s="23" t="s">
        <v>4931</v>
      </c>
      <c r="U1414" s="3">
        <v>34</v>
      </c>
      <c r="W1414" s="45" t="str">
        <f>HYPERLINK("http://ictvonline.org/taxonomy/p/taxonomy-history?taxnode_id=201853087","ICTVonline=201853087")</f>
        <v>ICTVonline=201853087</v>
      </c>
      <c r="AA1414" s="1">
        <v>201850000</v>
      </c>
      <c r="AB1414" s="1">
        <v>34</v>
      </c>
    </row>
    <row r="1415" spans="1:28" x14ac:dyDescent="0.15">
      <c r="A1415" s="1">
        <v>3759</v>
      </c>
      <c r="B1415" s="1" t="s">
        <v>7159</v>
      </c>
      <c r="L1415" s="1" t="s">
        <v>1133</v>
      </c>
      <c r="N1415" s="1" t="s">
        <v>1134</v>
      </c>
      <c r="P1415" s="1" t="s">
        <v>1655</v>
      </c>
      <c r="Q1415" s="3">
        <v>0</v>
      </c>
      <c r="S1415" s="23" t="s">
        <v>5949</v>
      </c>
      <c r="T1415" s="23" t="s">
        <v>4931</v>
      </c>
      <c r="U1415" s="3">
        <v>34</v>
      </c>
      <c r="W1415" s="45" t="str">
        <f>HYPERLINK("http://ictvonline.org/taxonomy/p/taxonomy-history?taxnode_id=201853088","ICTVonline=201853088")</f>
        <v>ICTVonline=201853088</v>
      </c>
      <c r="AA1415" s="1">
        <v>201850000</v>
      </c>
      <c r="AB1415" s="1">
        <v>34</v>
      </c>
    </row>
    <row r="1416" spans="1:28" x14ac:dyDescent="0.15">
      <c r="A1416" s="1">
        <v>3761</v>
      </c>
      <c r="B1416" s="1" t="s">
        <v>7159</v>
      </c>
      <c r="L1416" s="1" t="s">
        <v>1133</v>
      </c>
      <c r="N1416" s="1" t="s">
        <v>1134</v>
      </c>
      <c r="P1416" s="1" t="s">
        <v>1656</v>
      </c>
      <c r="Q1416" s="3">
        <v>0</v>
      </c>
      <c r="S1416" s="23" t="s">
        <v>5949</v>
      </c>
      <c r="T1416" s="23" t="s">
        <v>4931</v>
      </c>
      <c r="U1416" s="3">
        <v>34</v>
      </c>
      <c r="W1416" s="45" t="str">
        <f>HYPERLINK("http://ictvonline.org/taxonomy/p/taxonomy-history?taxnode_id=201853089","ICTVonline=201853089")</f>
        <v>ICTVonline=201853089</v>
      </c>
      <c r="AA1416" s="1">
        <v>201850000</v>
      </c>
      <c r="AB1416" s="1">
        <v>34</v>
      </c>
    </row>
    <row r="1417" spans="1:28" x14ac:dyDescent="0.15">
      <c r="A1417" s="1">
        <v>3763</v>
      </c>
      <c r="B1417" s="1" t="s">
        <v>7159</v>
      </c>
      <c r="L1417" s="1" t="s">
        <v>1133</v>
      </c>
      <c r="N1417" s="1" t="s">
        <v>1134</v>
      </c>
      <c r="P1417" s="1" t="s">
        <v>1657</v>
      </c>
      <c r="Q1417" s="3">
        <v>0</v>
      </c>
      <c r="S1417" s="23" t="s">
        <v>5949</v>
      </c>
      <c r="T1417" s="23" t="s">
        <v>4931</v>
      </c>
      <c r="U1417" s="3">
        <v>34</v>
      </c>
      <c r="W1417" s="45" t="str">
        <f>HYPERLINK("http://ictvonline.org/taxonomy/p/taxonomy-history?taxnode_id=201853090","ICTVonline=201853090")</f>
        <v>ICTVonline=201853090</v>
      </c>
      <c r="AA1417" s="1">
        <v>201850000</v>
      </c>
      <c r="AB1417" s="1">
        <v>34</v>
      </c>
    </row>
    <row r="1418" spans="1:28" x14ac:dyDescent="0.15">
      <c r="A1418" s="1">
        <v>3765</v>
      </c>
      <c r="B1418" s="1" t="s">
        <v>7159</v>
      </c>
      <c r="L1418" s="1" t="s">
        <v>1133</v>
      </c>
      <c r="N1418" s="1" t="s">
        <v>1134</v>
      </c>
      <c r="P1418" s="1" t="s">
        <v>1658</v>
      </c>
      <c r="Q1418" s="3">
        <v>0</v>
      </c>
      <c r="S1418" s="23" t="s">
        <v>5949</v>
      </c>
      <c r="T1418" s="23" t="s">
        <v>4931</v>
      </c>
      <c r="U1418" s="3">
        <v>34</v>
      </c>
      <c r="W1418" s="45" t="str">
        <f>HYPERLINK("http://ictvonline.org/taxonomy/p/taxonomy-history?taxnode_id=201853091","ICTVonline=201853091")</f>
        <v>ICTVonline=201853091</v>
      </c>
      <c r="AA1418" s="1">
        <v>201850000</v>
      </c>
      <c r="AB1418" s="1">
        <v>34</v>
      </c>
    </row>
    <row r="1419" spans="1:28" x14ac:dyDescent="0.15">
      <c r="A1419" s="1">
        <v>3767</v>
      </c>
      <c r="B1419" s="1" t="s">
        <v>7159</v>
      </c>
      <c r="L1419" s="1" t="s">
        <v>1133</v>
      </c>
      <c r="N1419" s="1" t="s">
        <v>1134</v>
      </c>
      <c r="P1419" s="1" t="s">
        <v>1659</v>
      </c>
      <c r="Q1419" s="3">
        <v>0</v>
      </c>
      <c r="S1419" s="23" t="s">
        <v>5949</v>
      </c>
      <c r="T1419" s="23" t="s">
        <v>4931</v>
      </c>
      <c r="U1419" s="3">
        <v>34</v>
      </c>
      <c r="W1419" s="45" t="str">
        <f>HYPERLINK("http://ictvonline.org/taxonomy/p/taxonomy-history?taxnode_id=201853092","ICTVonline=201853092")</f>
        <v>ICTVonline=201853092</v>
      </c>
      <c r="AA1419" s="1">
        <v>201850000</v>
      </c>
      <c r="AB1419" s="1">
        <v>34</v>
      </c>
    </row>
    <row r="1420" spans="1:28" x14ac:dyDescent="0.15">
      <c r="A1420" s="1">
        <v>3769</v>
      </c>
      <c r="B1420" s="1" t="s">
        <v>7159</v>
      </c>
      <c r="L1420" s="1" t="s">
        <v>1133</v>
      </c>
      <c r="N1420" s="1" t="s">
        <v>1134</v>
      </c>
      <c r="P1420" s="1" t="s">
        <v>1660</v>
      </c>
      <c r="Q1420" s="3">
        <v>0</v>
      </c>
      <c r="S1420" s="23" t="s">
        <v>5949</v>
      </c>
      <c r="T1420" s="23" t="s">
        <v>4931</v>
      </c>
      <c r="U1420" s="3">
        <v>34</v>
      </c>
      <c r="W1420" s="45" t="str">
        <f>HYPERLINK("http://ictvonline.org/taxonomy/p/taxonomy-history?taxnode_id=201853093","ICTVonline=201853093")</f>
        <v>ICTVonline=201853093</v>
      </c>
      <c r="AA1420" s="1">
        <v>201850000</v>
      </c>
      <c r="AB1420" s="1">
        <v>34</v>
      </c>
    </row>
    <row r="1421" spans="1:28" x14ac:dyDescent="0.15">
      <c r="A1421" s="1">
        <v>3771</v>
      </c>
      <c r="B1421" s="1" t="s">
        <v>7159</v>
      </c>
      <c r="L1421" s="1" t="s">
        <v>1133</v>
      </c>
      <c r="N1421" s="1" t="s">
        <v>1134</v>
      </c>
      <c r="P1421" s="1" t="s">
        <v>1661</v>
      </c>
      <c r="Q1421" s="3">
        <v>0</v>
      </c>
      <c r="S1421" s="23" t="s">
        <v>5949</v>
      </c>
      <c r="T1421" s="23" t="s">
        <v>4931</v>
      </c>
      <c r="U1421" s="3">
        <v>34</v>
      </c>
      <c r="W1421" s="45" t="str">
        <f>HYPERLINK("http://ictvonline.org/taxonomy/p/taxonomy-history?taxnode_id=201853094","ICTVonline=201853094")</f>
        <v>ICTVonline=201853094</v>
      </c>
      <c r="AA1421" s="1">
        <v>201850000</v>
      </c>
      <c r="AB1421" s="1">
        <v>34</v>
      </c>
    </row>
    <row r="1422" spans="1:28" x14ac:dyDescent="0.15">
      <c r="A1422" s="1">
        <v>3773</v>
      </c>
      <c r="B1422" s="1" t="s">
        <v>7159</v>
      </c>
      <c r="L1422" s="1" t="s">
        <v>1133</v>
      </c>
      <c r="N1422" s="1" t="s">
        <v>1134</v>
      </c>
      <c r="P1422" s="1" t="s">
        <v>1662</v>
      </c>
      <c r="Q1422" s="3">
        <v>0</v>
      </c>
      <c r="S1422" s="23" t="s">
        <v>5949</v>
      </c>
      <c r="T1422" s="23" t="s">
        <v>4931</v>
      </c>
      <c r="U1422" s="3">
        <v>34</v>
      </c>
      <c r="W1422" s="45" t="str">
        <f>HYPERLINK("http://ictvonline.org/taxonomy/p/taxonomy-history?taxnode_id=201853095","ICTVonline=201853095")</f>
        <v>ICTVonline=201853095</v>
      </c>
      <c r="AA1422" s="1">
        <v>201850000</v>
      </c>
      <c r="AB1422" s="1">
        <v>34</v>
      </c>
    </row>
    <row r="1423" spans="1:28" x14ac:dyDescent="0.15">
      <c r="A1423" s="1">
        <v>3775</v>
      </c>
      <c r="B1423" s="1" t="s">
        <v>7159</v>
      </c>
      <c r="L1423" s="1" t="s">
        <v>1133</v>
      </c>
      <c r="N1423" s="1" t="s">
        <v>1134</v>
      </c>
      <c r="P1423" s="1" t="s">
        <v>1663</v>
      </c>
      <c r="Q1423" s="3">
        <v>0</v>
      </c>
      <c r="S1423" s="23" t="s">
        <v>5949</v>
      </c>
      <c r="T1423" s="23" t="s">
        <v>4931</v>
      </c>
      <c r="U1423" s="3">
        <v>34</v>
      </c>
      <c r="W1423" s="45" t="str">
        <f>HYPERLINK("http://ictvonline.org/taxonomy/p/taxonomy-history?taxnode_id=201853096","ICTVonline=201853096")</f>
        <v>ICTVonline=201853096</v>
      </c>
      <c r="AA1423" s="1">
        <v>201850000</v>
      </c>
      <c r="AB1423" s="1">
        <v>34</v>
      </c>
    </row>
    <row r="1424" spans="1:28" x14ac:dyDescent="0.15">
      <c r="A1424" s="1">
        <v>3777</v>
      </c>
      <c r="B1424" s="1" t="s">
        <v>7159</v>
      </c>
      <c r="L1424" s="1" t="s">
        <v>1133</v>
      </c>
      <c r="N1424" s="1" t="s">
        <v>1134</v>
      </c>
      <c r="P1424" s="1" t="s">
        <v>1664</v>
      </c>
      <c r="Q1424" s="3">
        <v>0</v>
      </c>
      <c r="S1424" s="23" t="s">
        <v>5949</v>
      </c>
      <c r="T1424" s="23" t="s">
        <v>4931</v>
      </c>
      <c r="U1424" s="3">
        <v>34</v>
      </c>
      <c r="W1424" s="45" t="str">
        <f>HYPERLINK("http://ictvonline.org/taxonomy/p/taxonomy-history?taxnode_id=201853097","ICTVonline=201853097")</f>
        <v>ICTVonline=201853097</v>
      </c>
      <c r="AA1424" s="1">
        <v>201850000</v>
      </c>
      <c r="AB1424" s="1">
        <v>34</v>
      </c>
    </row>
    <row r="1425" spans="1:28" x14ac:dyDescent="0.15">
      <c r="A1425" s="1">
        <v>3779</v>
      </c>
      <c r="B1425" s="1" t="s">
        <v>7159</v>
      </c>
      <c r="L1425" s="1" t="s">
        <v>1133</v>
      </c>
      <c r="N1425" s="1" t="s">
        <v>1134</v>
      </c>
      <c r="P1425" s="1" t="s">
        <v>1665</v>
      </c>
      <c r="Q1425" s="3">
        <v>0</v>
      </c>
      <c r="S1425" s="23" t="s">
        <v>5949</v>
      </c>
      <c r="T1425" s="23" t="s">
        <v>4931</v>
      </c>
      <c r="U1425" s="3">
        <v>34</v>
      </c>
      <c r="W1425" s="45" t="str">
        <f>HYPERLINK("http://ictvonline.org/taxonomy/p/taxonomy-history?taxnode_id=201853098","ICTVonline=201853098")</f>
        <v>ICTVonline=201853098</v>
      </c>
      <c r="AA1425" s="1">
        <v>201850000</v>
      </c>
      <c r="AB1425" s="1">
        <v>34</v>
      </c>
    </row>
    <row r="1426" spans="1:28" x14ac:dyDescent="0.15">
      <c r="A1426" s="1">
        <v>3781</v>
      </c>
      <c r="B1426" s="1" t="s">
        <v>7159</v>
      </c>
      <c r="L1426" s="1" t="s">
        <v>1133</v>
      </c>
      <c r="N1426" s="1" t="s">
        <v>1134</v>
      </c>
      <c r="P1426" s="1" t="s">
        <v>1992</v>
      </c>
      <c r="Q1426" s="3">
        <v>0</v>
      </c>
      <c r="S1426" s="23" t="s">
        <v>5949</v>
      </c>
      <c r="T1426" s="23" t="s">
        <v>4931</v>
      </c>
      <c r="U1426" s="3">
        <v>34</v>
      </c>
      <c r="W1426" s="45" t="str">
        <f>HYPERLINK("http://ictvonline.org/taxonomy/p/taxonomy-history?taxnode_id=201853099","ICTVonline=201853099")</f>
        <v>ICTVonline=201853099</v>
      </c>
      <c r="AA1426" s="1">
        <v>201850000</v>
      </c>
      <c r="AB1426" s="1">
        <v>34</v>
      </c>
    </row>
    <row r="1427" spans="1:28" x14ac:dyDescent="0.15">
      <c r="A1427" s="1">
        <v>3783</v>
      </c>
      <c r="B1427" s="1" t="s">
        <v>7159</v>
      </c>
      <c r="L1427" s="1" t="s">
        <v>1133</v>
      </c>
      <c r="N1427" s="1" t="s">
        <v>1134</v>
      </c>
      <c r="P1427" s="1" t="s">
        <v>1170</v>
      </c>
      <c r="Q1427" s="3">
        <v>0</v>
      </c>
      <c r="S1427" s="23" t="s">
        <v>5949</v>
      </c>
      <c r="T1427" s="23" t="s">
        <v>4931</v>
      </c>
      <c r="U1427" s="3">
        <v>34</v>
      </c>
      <c r="W1427" s="45" t="str">
        <f>HYPERLINK("http://ictvonline.org/taxonomy/p/taxonomy-history?taxnode_id=201853100","ICTVonline=201853100")</f>
        <v>ICTVonline=201853100</v>
      </c>
      <c r="AA1427" s="1">
        <v>201850000</v>
      </c>
      <c r="AB1427" s="1">
        <v>34</v>
      </c>
    </row>
    <row r="1428" spans="1:28" x14ac:dyDescent="0.15">
      <c r="A1428" s="1">
        <v>3785</v>
      </c>
      <c r="B1428" s="1" t="s">
        <v>7159</v>
      </c>
      <c r="L1428" s="1" t="s">
        <v>1133</v>
      </c>
      <c r="N1428" s="1" t="s">
        <v>1134</v>
      </c>
      <c r="P1428" s="1" t="s">
        <v>1171</v>
      </c>
      <c r="Q1428" s="3">
        <v>0</v>
      </c>
      <c r="S1428" s="23" t="s">
        <v>5949</v>
      </c>
      <c r="T1428" s="23" t="s">
        <v>4931</v>
      </c>
      <c r="U1428" s="3">
        <v>34</v>
      </c>
      <c r="W1428" s="45" t="str">
        <f>HYPERLINK("http://ictvonline.org/taxonomy/p/taxonomy-history?taxnode_id=201853101","ICTVonline=201853101")</f>
        <v>ICTVonline=201853101</v>
      </c>
      <c r="AA1428" s="1">
        <v>201850000</v>
      </c>
      <c r="AB1428" s="1">
        <v>34</v>
      </c>
    </row>
    <row r="1429" spans="1:28" x14ac:dyDescent="0.15">
      <c r="A1429" s="1">
        <v>3787</v>
      </c>
      <c r="B1429" s="1" t="s">
        <v>7159</v>
      </c>
      <c r="L1429" s="1" t="s">
        <v>1133</v>
      </c>
      <c r="N1429" s="1" t="s">
        <v>1134</v>
      </c>
      <c r="P1429" s="1" t="s">
        <v>1172</v>
      </c>
      <c r="Q1429" s="3">
        <v>0</v>
      </c>
      <c r="S1429" s="23" t="s">
        <v>5949</v>
      </c>
      <c r="T1429" s="23" t="s">
        <v>4931</v>
      </c>
      <c r="U1429" s="3">
        <v>34</v>
      </c>
      <c r="W1429" s="45" t="str">
        <f>HYPERLINK("http://ictvonline.org/taxonomy/p/taxonomy-history?taxnode_id=201853102","ICTVonline=201853102")</f>
        <v>ICTVonline=201853102</v>
      </c>
      <c r="AA1429" s="1">
        <v>201850000</v>
      </c>
      <c r="AB1429" s="1">
        <v>34</v>
      </c>
    </row>
    <row r="1430" spans="1:28" x14ac:dyDescent="0.15">
      <c r="A1430" s="1">
        <v>3789</v>
      </c>
      <c r="B1430" s="1" t="s">
        <v>7159</v>
      </c>
      <c r="L1430" s="1" t="s">
        <v>1133</v>
      </c>
      <c r="N1430" s="1" t="s">
        <v>1134</v>
      </c>
      <c r="P1430" s="1" t="s">
        <v>719</v>
      </c>
      <c r="Q1430" s="3">
        <v>0</v>
      </c>
      <c r="S1430" s="23" t="s">
        <v>5949</v>
      </c>
      <c r="T1430" s="23" t="s">
        <v>4931</v>
      </c>
      <c r="U1430" s="3">
        <v>34</v>
      </c>
      <c r="W1430" s="45" t="str">
        <f>HYPERLINK("http://ictvonline.org/taxonomy/p/taxonomy-history?taxnode_id=201853103","ICTVonline=201853103")</f>
        <v>ICTVonline=201853103</v>
      </c>
      <c r="AA1430" s="1">
        <v>201850000</v>
      </c>
      <c r="AB1430" s="1">
        <v>34</v>
      </c>
    </row>
    <row r="1431" spans="1:28" x14ac:dyDescent="0.15">
      <c r="A1431" s="1">
        <v>3791</v>
      </c>
      <c r="B1431" s="1" t="s">
        <v>7159</v>
      </c>
      <c r="L1431" s="1" t="s">
        <v>1133</v>
      </c>
      <c r="N1431" s="1" t="s">
        <v>1134</v>
      </c>
      <c r="P1431" s="1" t="s">
        <v>720</v>
      </c>
      <c r="Q1431" s="3">
        <v>0</v>
      </c>
      <c r="S1431" s="23" t="s">
        <v>5949</v>
      </c>
      <c r="T1431" s="23" t="s">
        <v>4931</v>
      </c>
      <c r="U1431" s="3">
        <v>34</v>
      </c>
      <c r="W1431" s="45" t="str">
        <f>HYPERLINK("http://ictvonline.org/taxonomy/p/taxonomy-history?taxnode_id=201853104","ICTVonline=201853104")</f>
        <v>ICTVonline=201853104</v>
      </c>
      <c r="AA1431" s="1">
        <v>201850000</v>
      </c>
      <c r="AB1431" s="1">
        <v>34</v>
      </c>
    </row>
    <row r="1432" spans="1:28" x14ac:dyDescent="0.15">
      <c r="A1432" s="1">
        <v>3793</v>
      </c>
      <c r="B1432" s="1" t="s">
        <v>7159</v>
      </c>
      <c r="L1432" s="1" t="s">
        <v>1133</v>
      </c>
      <c r="N1432" s="1" t="s">
        <v>1134</v>
      </c>
      <c r="P1432" s="1" t="s">
        <v>721</v>
      </c>
      <c r="Q1432" s="3">
        <v>0</v>
      </c>
      <c r="S1432" s="23" t="s">
        <v>5949</v>
      </c>
      <c r="T1432" s="23" t="s">
        <v>4931</v>
      </c>
      <c r="U1432" s="3">
        <v>34</v>
      </c>
      <c r="W1432" s="45" t="str">
        <f>HYPERLINK("http://ictvonline.org/taxonomy/p/taxonomy-history?taxnode_id=201853105","ICTVonline=201853105")</f>
        <v>ICTVonline=201853105</v>
      </c>
      <c r="AA1432" s="1">
        <v>201850000</v>
      </c>
      <c r="AB1432" s="1">
        <v>34</v>
      </c>
    </row>
    <row r="1433" spans="1:28" x14ac:dyDescent="0.15">
      <c r="A1433" s="1">
        <v>3795</v>
      </c>
      <c r="B1433" s="1" t="s">
        <v>7159</v>
      </c>
      <c r="L1433" s="1" t="s">
        <v>1133</v>
      </c>
      <c r="N1433" s="1" t="s">
        <v>1134</v>
      </c>
      <c r="P1433" s="1" t="s">
        <v>722</v>
      </c>
      <c r="Q1433" s="3">
        <v>0</v>
      </c>
      <c r="S1433" s="23" t="s">
        <v>5949</v>
      </c>
      <c r="T1433" s="23" t="s">
        <v>4931</v>
      </c>
      <c r="U1433" s="3">
        <v>34</v>
      </c>
      <c r="W1433" s="45" t="str">
        <f>HYPERLINK("http://ictvonline.org/taxonomy/p/taxonomy-history?taxnode_id=201853106","ICTVonline=201853106")</f>
        <v>ICTVonline=201853106</v>
      </c>
      <c r="AA1433" s="1">
        <v>201850000</v>
      </c>
      <c r="AB1433" s="1">
        <v>34</v>
      </c>
    </row>
    <row r="1434" spans="1:28" x14ac:dyDescent="0.15">
      <c r="A1434" s="1">
        <v>3797</v>
      </c>
      <c r="B1434" s="1" t="s">
        <v>7159</v>
      </c>
      <c r="L1434" s="1" t="s">
        <v>1133</v>
      </c>
      <c r="N1434" s="1" t="s">
        <v>1134</v>
      </c>
      <c r="P1434" s="1" t="s">
        <v>723</v>
      </c>
      <c r="Q1434" s="3">
        <v>0</v>
      </c>
      <c r="S1434" s="23" t="s">
        <v>5949</v>
      </c>
      <c r="T1434" s="23" t="s">
        <v>4931</v>
      </c>
      <c r="U1434" s="3">
        <v>34</v>
      </c>
      <c r="W1434" s="45" t="str">
        <f>HYPERLINK("http://ictvonline.org/taxonomy/p/taxonomy-history?taxnode_id=201853107","ICTVonline=201853107")</f>
        <v>ICTVonline=201853107</v>
      </c>
      <c r="AA1434" s="1">
        <v>201850000</v>
      </c>
      <c r="AB1434" s="1">
        <v>34</v>
      </c>
    </row>
    <row r="1435" spans="1:28" x14ac:dyDescent="0.15">
      <c r="A1435" s="1">
        <v>3799</v>
      </c>
      <c r="B1435" s="1" t="s">
        <v>7159</v>
      </c>
      <c r="L1435" s="1" t="s">
        <v>1133</v>
      </c>
      <c r="N1435" s="1" t="s">
        <v>1134</v>
      </c>
      <c r="P1435" s="1" t="s">
        <v>5359</v>
      </c>
      <c r="Q1435" s="3">
        <v>0</v>
      </c>
      <c r="S1435" s="23" t="s">
        <v>5949</v>
      </c>
      <c r="T1435" s="23" t="s">
        <v>4931</v>
      </c>
      <c r="U1435" s="3">
        <v>34</v>
      </c>
      <c r="W1435" s="45" t="str">
        <f>HYPERLINK("http://ictvonline.org/taxonomy/p/taxonomy-history?taxnode_id=201853112","ICTVonline=201853112")</f>
        <v>ICTVonline=201853112</v>
      </c>
      <c r="AA1435" s="1">
        <v>201850000</v>
      </c>
      <c r="AB1435" s="1">
        <v>34</v>
      </c>
    </row>
    <row r="1436" spans="1:28" x14ac:dyDescent="0.15">
      <c r="A1436" s="1">
        <v>3801</v>
      </c>
      <c r="B1436" s="1" t="s">
        <v>7159</v>
      </c>
      <c r="L1436" s="1" t="s">
        <v>1133</v>
      </c>
      <c r="N1436" s="1" t="s">
        <v>1134</v>
      </c>
      <c r="P1436" s="1" t="s">
        <v>724</v>
      </c>
      <c r="Q1436" s="3">
        <v>0</v>
      </c>
      <c r="S1436" s="23" t="s">
        <v>5949</v>
      </c>
      <c r="T1436" s="23" t="s">
        <v>4931</v>
      </c>
      <c r="U1436" s="3">
        <v>34</v>
      </c>
      <c r="W1436" s="45" t="str">
        <f>HYPERLINK("http://ictvonline.org/taxonomy/p/taxonomy-history?taxnode_id=201853108","ICTVonline=201853108")</f>
        <v>ICTVonline=201853108</v>
      </c>
      <c r="AA1436" s="1">
        <v>201850000</v>
      </c>
      <c r="AB1436" s="1">
        <v>34</v>
      </c>
    </row>
    <row r="1437" spans="1:28" x14ac:dyDescent="0.15">
      <c r="A1437" s="1">
        <v>3803</v>
      </c>
      <c r="B1437" s="1" t="s">
        <v>7159</v>
      </c>
      <c r="L1437" s="1" t="s">
        <v>1133</v>
      </c>
      <c r="N1437" s="1" t="s">
        <v>1134</v>
      </c>
      <c r="P1437" s="1" t="s">
        <v>725</v>
      </c>
      <c r="Q1437" s="3">
        <v>0</v>
      </c>
      <c r="S1437" s="23" t="s">
        <v>5949</v>
      </c>
      <c r="T1437" s="23" t="s">
        <v>4931</v>
      </c>
      <c r="U1437" s="3">
        <v>34</v>
      </c>
      <c r="W1437" s="45" t="str">
        <f>HYPERLINK("http://ictvonline.org/taxonomy/p/taxonomy-history?taxnode_id=201853109","ICTVonline=201853109")</f>
        <v>ICTVonline=201853109</v>
      </c>
      <c r="AA1437" s="1">
        <v>201850000</v>
      </c>
      <c r="AB1437" s="1">
        <v>34</v>
      </c>
    </row>
    <row r="1438" spans="1:28" x14ac:dyDescent="0.15">
      <c r="A1438" s="1">
        <v>3805</v>
      </c>
      <c r="B1438" s="1" t="s">
        <v>7159</v>
      </c>
      <c r="L1438" s="1" t="s">
        <v>1133</v>
      </c>
      <c r="N1438" s="1" t="s">
        <v>1134</v>
      </c>
      <c r="P1438" s="1" t="s">
        <v>1178</v>
      </c>
      <c r="Q1438" s="3">
        <v>0</v>
      </c>
      <c r="S1438" s="23" t="s">
        <v>5949</v>
      </c>
      <c r="T1438" s="23" t="s">
        <v>4931</v>
      </c>
      <c r="U1438" s="3">
        <v>34</v>
      </c>
      <c r="W1438" s="45" t="str">
        <f>HYPERLINK("http://ictvonline.org/taxonomy/p/taxonomy-history?taxnode_id=201853110","ICTVonline=201853110")</f>
        <v>ICTVonline=201853110</v>
      </c>
      <c r="AA1438" s="1">
        <v>201850000</v>
      </c>
      <c r="AB1438" s="1">
        <v>34</v>
      </c>
    </row>
    <row r="1439" spans="1:28" x14ac:dyDescent="0.15">
      <c r="A1439" s="1">
        <v>3807</v>
      </c>
      <c r="B1439" s="1" t="s">
        <v>7159</v>
      </c>
      <c r="L1439" s="1" t="s">
        <v>1133</v>
      </c>
      <c r="N1439" s="1" t="s">
        <v>1134</v>
      </c>
      <c r="P1439" s="1" t="s">
        <v>1179</v>
      </c>
      <c r="Q1439" s="3">
        <v>0</v>
      </c>
      <c r="S1439" s="23" t="s">
        <v>5949</v>
      </c>
      <c r="T1439" s="23" t="s">
        <v>4931</v>
      </c>
      <c r="U1439" s="3">
        <v>34</v>
      </c>
      <c r="W1439" s="45" t="str">
        <f>HYPERLINK("http://ictvonline.org/taxonomy/p/taxonomy-history?taxnode_id=201853111","ICTVonline=201853111")</f>
        <v>ICTVonline=201853111</v>
      </c>
      <c r="AA1439" s="1">
        <v>201850000</v>
      </c>
      <c r="AB1439" s="1">
        <v>34</v>
      </c>
    </row>
    <row r="1440" spans="1:28" x14ac:dyDescent="0.15">
      <c r="A1440" s="1">
        <v>3809</v>
      </c>
      <c r="B1440" s="1" t="s">
        <v>7159</v>
      </c>
      <c r="L1440" s="1" t="s">
        <v>1133</v>
      </c>
      <c r="N1440" s="1" t="s">
        <v>1134</v>
      </c>
      <c r="P1440" s="1" t="s">
        <v>1180</v>
      </c>
      <c r="Q1440" s="3">
        <v>0</v>
      </c>
      <c r="S1440" s="23" t="s">
        <v>5949</v>
      </c>
      <c r="T1440" s="23" t="s">
        <v>4931</v>
      </c>
      <c r="U1440" s="3">
        <v>34</v>
      </c>
      <c r="W1440" s="45" t="str">
        <f>HYPERLINK("http://ictvonline.org/taxonomy/p/taxonomy-history?taxnode_id=201853113","ICTVonline=201853113")</f>
        <v>ICTVonline=201853113</v>
      </c>
      <c r="AA1440" s="1">
        <v>201850000</v>
      </c>
      <c r="AB1440" s="1">
        <v>34</v>
      </c>
    </row>
    <row r="1441" spans="1:28" x14ac:dyDescent="0.15">
      <c r="A1441" s="1">
        <v>3811</v>
      </c>
      <c r="B1441" s="1" t="s">
        <v>7159</v>
      </c>
      <c r="L1441" s="1" t="s">
        <v>1133</v>
      </c>
      <c r="N1441" s="1" t="s">
        <v>1134</v>
      </c>
      <c r="P1441" s="1" t="s">
        <v>1181</v>
      </c>
      <c r="Q1441" s="3">
        <v>0</v>
      </c>
      <c r="S1441" s="23" t="s">
        <v>5949</v>
      </c>
      <c r="T1441" s="23" t="s">
        <v>4931</v>
      </c>
      <c r="U1441" s="3">
        <v>34</v>
      </c>
      <c r="W1441" s="45" t="str">
        <f>HYPERLINK("http://ictvonline.org/taxonomy/p/taxonomy-history?taxnode_id=201853114","ICTVonline=201853114")</f>
        <v>ICTVonline=201853114</v>
      </c>
      <c r="AA1441" s="1">
        <v>201850000</v>
      </c>
      <c r="AB1441" s="1">
        <v>34</v>
      </c>
    </row>
    <row r="1442" spans="1:28" x14ac:dyDescent="0.15">
      <c r="A1442" s="1">
        <v>3813</v>
      </c>
      <c r="B1442" s="1" t="s">
        <v>7159</v>
      </c>
      <c r="L1442" s="1" t="s">
        <v>1133</v>
      </c>
      <c r="N1442" s="1" t="s">
        <v>1134</v>
      </c>
      <c r="P1442" s="1" t="s">
        <v>1182</v>
      </c>
      <c r="Q1442" s="3">
        <v>0</v>
      </c>
      <c r="S1442" s="23" t="s">
        <v>5949</v>
      </c>
      <c r="T1442" s="23" t="s">
        <v>4931</v>
      </c>
      <c r="U1442" s="3">
        <v>34</v>
      </c>
      <c r="W1442" s="45" t="str">
        <f>HYPERLINK("http://ictvonline.org/taxonomy/p/taxonomy-history?taxnode_id=201853115","ICTVonline=201853115")</f>
        <v>ICTVonline=201853115</v>
      </c>
      <c r="AA1442" s="1">
        <v>201850000</v>
      </c>
      <c r="AB1442" s="1">
        <v>34</v>
      </c>
    </row>
    <row r="1443" spans="1:28" x14ac:dyDescent="0.15">
      <c r="A1443" s="1">
        <v>3815</v>
      </c>
      <c r="B1443" s="1" t="s">
        <v>7159</v>
      </c>
      <c r="L1443" s="1" t="s">
        <v>1133</v>
      </c>
      <c r="N1443" s="1" t="s">
        <v>1134</v>
      </c>
      <c r="P1443" s="1" t="s">
        <v>1183</v>
      </c>
      <c r="Q1443" s="3">
        <v>0</v>
      </c>
      <c r="S1443" s="23" t="s">
        <v>5949</v>
      </c>
      <c r="T1443" s="23" t="s">
        <v>4931</v>
      </c>
      <c r="U1443" s="3">
        <v>34</v>
      </c>
      <c r="W1443" s="45" t="str">
        <f>HYPERLINK("http://ictvonline.org/taxonomy/p/taxonomy-history?taxnode_id=201853116","ICTVonline=201853116")</f>
        <v>ICTVonline=201853116</v>
      </c>
      <c r="AA1443" s="1">
        <v>201850000</v>
      </c>
      <c r="AB1443" s="1">
        <v>34</v>
      </c>
    </row>
    <row r="1444" spans="1:28" x14ac:dyDescent="0.15">
      <c r="A1444" s="1">
        <v>3817</v>
      </c>
      <c r="B1444" s="1" t="s">
        <v>7159</v>
      </c>
      <c r="L1444" s="1" t="s">
        <v>1133</v>
      </c>
      <c r="N1444" s="1" t="s">
        <v>1134</v>
      </c>
      <c r="P1444" s="1" t="s">
        <v>1184</v>
      </c>
      <c r="Q1444" s="3">
        <v>0</v>
      </c>
      <c r="S1444" s="23" t="s">
        <v>5949</v>
      </c>
      <c r="T1444" s="23" t="s">
        <v>4931</v>
      </c>
      <c r="U1444" s="3">
        <v>34</v>
      </c>
      <c r="W1444" s="45" t="str">
        <f>HYPERLINK("http://ictvonline.org/taxonomy/p/taxonomy-history?taxnode_id=201853117","ICTVonline=201853117")</f>
        <v>ICTVonline=201853117</v>
      </c>
      <c r="AA1444" s="1">
        <v>201850000</v>
      </c>
      <c r="AB1444" s="1">
        <v>34</v>
      </c>
    </row>
    <row r="1445" spans="1:28" x14ac:dyDescent="0.15">
      <c r="A1445" s="1">
        <v>3819</v>
      </c>
      <c r="B1445" s="1" t="s">
        <v>7159</v>
      </c>
      <c r="L1445" s="1" t="s">
        <v>1133</v>
      </c>
      <c r="N1445" s="1" t="s">
        <v>1134</v>
      </c>
      <c r="P1445" s="1" t="s">
        <v>1185</v>
      </c>
      <c r="Q1445" s="3">
        <v>0</v>
      </c>
      <c r="S1445" s="23" t="s">
        <v>5949</v>
      </c>
      <c r="T1445" s="23" t="s">
        <v>4931</v>
      </c>
      <c r="U1445" s="3">
        <v>34</v>
      </c>
      <c r="W1445" s="45" t="str">
        <f>HYPERLINK("http://ictvonline.org/taxonomy/p/taxonomy-history?taxnode_id=201853118","ICTVonline=201853118")</f>
        <v>ICTVonline=201853118</v>
      </c>
      <c r="AA1445" s="1">
        <v>201850000</v>
      </c>
      <c r="AB1445" s="1">
        <v>34</v>
      </c>
    </row>
    <row r="1446" spans="1:28" x14ac:dyDescent="0.15">
      <c r="A1446" s="1">
        <v>3821</v>
      </c>
      <c r="B1446" s="1" t="s">
        <v>7159</v>
      </c>
      <c r="L1446" s="1" t="s">
        <v>1133</v>
      </c>
      <c r="N1446" s="1" t="s">
        <v>1134</v>
      </c>
      <c r="P1446" s="1" t="s">
        <v>1186</v>
      </c>
      <c r="Q1446" s="3">
        <v>0</v>
      </c>
      <c r="S1446" s="23" t="s">
        <v>5949</v>
      </c>
      <c r="T1446" s="23" t="s">
        <v>4931</v>
      </c>
      <c r="U1446" s="3">
        <v>34</v>
      </c>
      <c r="W1446" s="45" t="str">
        <f>HYPERLINK("http://ictvonline.org/taxonomy/p/taxonomy-history?taxnode_id=201853119","ICTVonline=201853119")</f>
        <v>ICTVonline=201853119</v>
      </c>
      <c r="AA1446" s="1">
        <v>201850000</v>
      </c>
      <c r="AB1446" s="1">
        <v>34</v>
      </c>
    </row>
    <row r="1447" spans="1:28" x14ac:dyDescent="0.15">
      <c r="A1447" s="1">
        <v>3823</v>
      </c>
      <c r="B1447" s="1" t="s">
        <v>7159</v>
      </c>
      <c r="L1447" s="1" t="s">
        <v>1133</v>
      </c>
      <c r="N1447" s="1" t="s">
        <v>1134</v>
      </c>
      <c r="P1447" s="1" t="s">
        <v>1187</v>
      </c>
      <c r="Q1447" s="3">
        <v>0</v>
      </c>
      <c r="S1447" s="23" t="s">
        <v>5949</v>
      </c>
      <c r="T1447" s="23" t="s">
        <v>4931</v>
      </c>
      <c r="U1447" s="3">
        <v>34</v>
      </c>
      <c r="W1447" s="45" t="str">
        <f>HYPERLINK("http://ictvonline.org/taxonomy/p/taxonomy-history?taxnode_id=201853120","ICTVonline=201853120")</f>
        <v>ICTVonline=201853120</v>
      </c>
      <c r="AA1447" s="1">
        <v>201850000</v>
      </c>
      <c r="AB1447" s="1">
        <v>34</v>
      </c>
    </row>
    <row r="1448" spans="1:28" x14ac:dyDescent="0.15">
      <c r="A1448" s="1">
        <v>3825</v>
      </c>
      <c r="B1448" s="1" t="s">
        <v>7159</v>
      </c>
      <c r="L1448" s="1" t="s">
        <v>1133</v>
      </c>
      <c r="N1448" s="1" t="s">
        <v>1134</v>
      </c>
      <c r="P1448" s="1" t="s">
        <v>1188</v>
      </c>
      <c r="Q1448" s="3">
        <v>1</v>
      </c>
      <c r="S1448" s="23" t="s">
        <v>5949</v>
      </c>
      <c r="T1448" s="23" t="s">
        <v>4931</v>
      </c>
      <c r="U1448" s="3">
        <v>34</v>
      </c>
      <c r="W1448" s="45" t="str">
        <f>HYPERLINK("http://ictvonline.org/taxonomy/p/taxonomy-history?taxnode_id=201853121","ICTVonline=201853121")</f>
        <v>ICTVonline=201853121</v>
      </c>
      <c r="AA1448" s="1">
        <v>201850000</v>
      </c>
      <c r="AB1448" s="1">
        <v>34</v>
      </c>
    </row>
    <row r="1449" spans="1:28" x14ac:dyDescent="0.15">
      <c r="A1449" s="1">
        <v>3827</v>
      </c>
      <c r="B1449" s="1" t="s">
        <v>7159</v>
      </c>
      <c r="L1449" s="1" t="s">
        <v>1133</v>
      </c>
      <c r="N1449" s="1" t="s">
        <v>1134</v>
      </c>
      <c r="P1449" s="1" t="s">
        <v>1189</v>
      </c>
      <c r="Q1449" s="3">
        <v>0</v>
      </c>
      <c r="S1449" s="23" t="s">
        <v>5949</v>
      </c>
      <c r="T1449" s="23" t="s">
        <v>4931</v>
      </c>
      <c r="U1449" s="3">
        <v>34</v>
      </c>
      <c r="W1449" s="45" t="str">
        <f>HYPERLINK("http://ictvonline.org/taxonomy/p/taxonomy-history?taxnode_id=201853122","ICTVonline=201853122")</f>
        <v>ICTVonline=201853122</v>
      </c>
      <c r="AA1449" s="1">
        <v>201850000</v>
      </c>
      <c r="AB1449" s="1">
        <v>34</v>
      </c>
    </row>
    <row r="1450" spans="1:28" x14ac:dyDescent="0.15">
      <c r="A1450" s="1">
        <v>3829</v>
      </c>
      <c r="B1450" s="1" t="s">
        <v>7159</v>
      </c>
      <c r="L1450" s="1" t="s">
        <v>1133</v>
      </c>
      <c r="N1450" s="1" t="s">
        <v>1134</v>
      </c>
      <c r="P1450" s="1" t="s">
        <v>1190</v>
      </c>
      <c r="Q1450" s="3">
        <v>0</v>
      </c>
      <c r="S1450" s="23" t="s">
        <v>5949</v>
      </c>
      <c r="T1450" s="23" t="s">
        <v>4931</v>
      </c>
      <c r="U1450" s="3">
        <v>34</v>
      </c>
      <c r="W1450" s="45" t="str">
        <f>HYPERLINK("http://ictvonline.org/taxonomy/p/taxonomy-history?taxnode_id=201853123","ICTVonline=201853123")</f>
        <v>ICTVonline=201853123</v>
      </c>
      <c r="AA1450" s="1">
        <v>201850000</v>
      </c>
      <c r="AB1450" s="1">
        <v>34</v>
      </c>
    </row>
    <row r="1451" spans="1:28" x14ac:dyDescent="0.15">
      <c r="A1451" s="1">
        <v>3833</v>
      </c>
      <c r="B1451" s="1" t="s">
        <v>7159</v>
      </c>
      <c r="L1451" s="1" t="s">
        <v>1133</v>
      </c>
      <c r="N1451" s="1" t="s">
        <v>1191</v>
      </c>
      <c r="P1451" s="1" t="s">
        <v>4681</v>
      </c>
      <c r="Q1451" s="3">
        <v>0</v>
      </c>
      <c r="S1451" s="23" t="s">
        <v>5949</v>
      </c>
      <c r="T1451" s="23" t="s">
        <v>4931</v>
      </c>
      <c r="U1451" s="3">
        <v>34</v>
      </c>
      <c r="W1451" s="45" t="str">
        <f>HYPERLINK("http://ictvonline.org/taxonomy/p/taxonomy-history?taxnode_id=201853125","ICTVonline=201853125")</f>
        <v>ICTVonline=201853125</v>
      </c>
      <c r="AA1451" s="1">
        <v>201850000</v>
      </c>
      <c r="AB1451" s="1">
        <v>34</v>
      </c>
    </row>
    <row r="1452" spans="1:28" x14ac:dyDescent="0.15">
      <c r="A1452" s="1">
        <v>3835</v>
      </c>
      <c r="B1452" s="1" t="s">
        <v>7159</v>
      </c>
      <c r="L1452" s="1" t="s">
        <v>1133</v>
      </c>
      <c r="N1452" s="1" t="s">
        <v>1191</v>
      </c>
      <c r="P1452" s="1" t="s">
        <v>4682</v>
      </c>
      <c r="Q1452" s="3">
        <v>0</v>
      </c>
      <c r="S1452" s="23" t="s">
        <v>5949</v>
      </c>
      <c r="T1452" s="23" t="s">
        <v>4931</v>
      </c>
      <c r="U1452" s="3">
        <v>34</v>
      </c>
      <c r="W1452" s="45" t="str">
        <f>HYPERLINK("http://ictvonline.org/taxonomy/p/taxonomy-history?taxnode_id=201853126","ICTVonline=201853126")</f>
        <v>ICTVonline=201853126</v>
      </c>
      <c r="AA1452" s="1">
        <v>201850000</v>
      </c>
      <c r="AB1452" s="1">
        <v>34</v>
      </c>
    </row>
    <row r="1453" spans="1:28" x14ac:dyDescent="0.15">
      <c r="A1453" s="1">
        <v>3837</v>
      </c>
      <c r="B1453" s="1" t="s">
        <v>7159</v>
      </c>
      <c r="L1453" s="1" t="s">
        <v>1133</v>
      </c>
      <c r="N1453" s="1" t="s">
        <v>1191</v>
      </c>
      <c r="P1453" s="1" t="s">
        <v>4990</v>
      </c>
      <c r="Q1453" s="3">
        <v>1</v>
      </c>
      <c r="S1453" s="23" t="s">
        <v>5949</v>
      </c>
      <c r="T1453" s="23" t="s">
        <v>4931</v>
      </c>
      <c r="U1453" s="3">
        <v>34</v>
      </c>
      <c r="W1453" s="45" t="str">
        <f>HYPERLINK("http://ictvonline.org/taxonomy/p/taxonomy-history?taxnode_id=201853127","ICTVonline=201853127")</f>
        <v>ICTVonline=201853127</v>
      </c>
      <c r="AA1453" s="1">
        <v>201850000</v>
      </c>
      <c r="AB1453" s="1">
        <v>34</v>
      </c>
    </row>
    <row r="1454" spans="1:28" x14ac:dyDescent="0.15">
      <c r="A1454" s="1">
        <v>3839</v>
      </c>
      <c r="B1454" s="1" t="s">
        <v>7159</v>
      </c>
      <c r="L1454" s="1" t="s">
        <v>1133</v>
      </c>
      <c r="N1454" s="1" t="s">
        <v>1191</v>
      </c>
      <c r="P1454" s="1" t="s">
        <v>4683</v>
      </c>
      <c r="Q1454" s="3">
        <v>0</v>
      </c>
      <c r="S1454" s="23" t="s">
        <v>5949</v>
      </c>
      <c r="T1454" s="23" t="s">
        <v>4931</v>
      </c>
      <c r="U1454" s="3">
        <v>34</v>
      </c>
      <c r="W1454" s="45" t="str">
        <f>HYPERLINK("http://ictvonline.org/taxonomy/p/taxonomy-history?taxnode_id=201853128","ICTVonline=201853128")</f>
        <v>ICTVonline=201853128</v>
      </c>
      <c r="AA1454" s="1">
        <v>201850000</v>
      </c>
      <c r="AB1454" s="1">
        <v>34</v>
      </c>
    </row>
    <row r="1455" spans="1:28" x14ac:dyDescent="0.15">
      <c r="A1455" s="1">
        <v>3841</v>
      </c>
      <c r="B1455" s="1" t="s">
        <v>7159</v>
      </c>
      <c r="L1455" s="1" t="s">
        <v>1133</v>
      </c>
      <c r="N1455" s="1" t="s">
        <v>1191</v>
      </c>
      <c r="P1455" s="1" t="s">
        <v>4684</v>
      </c>
      <c r="Q1455" s="3">
        <v>0</v>
      </c>
      <c r="S1455" s="23" t="s">
        <v>5949</v>
      </c>
      <c r="T1455" s="23" t="s">
        <v>4931</v>
      </c>
      <c r="U1455" s="3">
        <v>34</v>
      </c>
      <c r="W1455" s="45" t="str">
        <f>HYPERLINK("http://ictvonline.org/taxonomy/p/taxonomy-history?taxnode_id=201853129","ICTVonline=201853129")</f>
        <v>ICTVonline=201853129</v>
      </c>
      <c r="AA1455" s="1">
        <v>201850000</v>
      </c>
      <c r="AB1455" s="1">
        <v>34</v>
      </c>
    </row>
    <row r="1456" spans="1:28" x14ac:dyDescent="0.15">
      <c r="A1456" s="1">
        <v>3843</v>
      </c>
      <c r="B1456" s="1" t="s">
        <v>7159</v>
      </c>
      <c r="L1456" s="1" t="s">
        <v>1133</v>
      </c>
      <c r="N1456" s="1" t="s">
        <v>1191</v>
      </c>
      <c r="P1456" s="1" t="s">
        <v>4685</v>
      </c>
      <c r="Q1456" s="3">
        <v>0</v>
      </c>
      <c r="S1456" s="23" t="s">
        <v>5949</v>
      </c>
      <c r="T1456" s="23" t="s">
        <v>4931</v>
      </c>
      <c r="U1456" s="3">
        <v>34</v>
      </c>
      <c r="W1456" s="45" t="str">
        <f>HYPERLINK("http://ictvonline.org/taxonomy/p/taxonomy-history?taxnode_id=201853130","ICTVonline=201853130")</f>
        <v>ICTVonline=201853130</v>
      </c>
      <c r="AA1456" s="1">
        <v>201850000</v>
      </c>
      <c r="AB1456" s="1">
        <v>34</v>
      </c>
    </row>
    <row r="1457" spans="1:28" x14ac:dyDescent="0.15">
      <c r="A1457" s="1">
        <v>3845</v>
      </c>
      <c r="B1457" s="1" t="s">
        <v>7159</v>
      </c>
      <c r="L1457" s="1" t="s">
        <v>1133</v>
      </c>
      <c r="N1457" s="1" t="s">
        <v>1191</v>
      </c>
      <c r="P1457" s="1" t="s">
        <v>4686</v>
      </c>
      <c r="Q1457" s="3">
        <v>0</v>
      </c>
      <c r="S1457" s="23" t="s">
        <v>5949</v>
      </c>
      <c r="T1457" s="23" t="s">
        <v>4931</v>
      </c>
      <c r="U1457" s="3">
        <v>34</v>
      </c>
      <c r="W1457" s="45" t="str">
        <f>HYPERLINK("http://ictvonline.org/taxonomy/p/taxonomy-history?taxnode_id=201853131","ICTVonline=201853131")</f>
        <v>ICTVonline=201853131</v>
      </c>
      <c r="AA1457" s="1">
        <v>201850000</v>
      </c>
      <c r="AB1457" s="1">
        <v>34</v>
      </c>
    </row>
    <row r="1458" spans="1:28" x14ac:dyDescent="0.15">
      <c r="A1458" s="1">
        <v>3847</v>
      </c>
      <c r="B1458" s="1" t="s">
        <v>7159</v>
      </c>
      <c r="L1458" s="1" t="s">
        <v>1133</v>
      </c>
      <c r="N1458" s="1" t="s">
        <v>1191</v>
      </c>
      <c r="P1458" s="1" t="s">
        <v>4687</v>
      </c>
      <c r="Q1458" s="3">
        <v>0</v>
      </c>
      <c r="S1458" s="23" t="s">
        <v>5949</v>
      </c>
      <c r="T1458" s="23" t="s">
        <v>4931</v>
      </c>
      <c r="U1458" s="3">
        <v>34</v>
      </c>
      <c r="W1458" s="45" t="str">
        <f>HYPERLINK("http://ictvonline.org/taxonomy/p/taxonomy-history?taxnode_id=201853132","ICTVonline=201853132")</f>
        <v>ICTVonline=201853132</v>
      </c>
      <c r="AA1458" s="1">
        <v>201850000</v>
      </c>
      <c r="AB1458" s="1">
        <v>34</v>
      </c>
    </row>
    <row r="1459" spans="1:28" x14ac:dyDescent="0.15">
      <c r="A1459" s="1">
        <v>3849</v>
      </c>
      <c r="B1459" s="1" t="s">
        <v>7159</v>
      </c>
      <c r="L1459" s="1" t="s">
        <v>1133</v>
      </c>
      <c r="N1459" s="1" t="s">
        <v>1191</v>
      </c>
      <c r="P1459" s="1" t="s">
        <v>4688</v>
      </c>
      <c r="Q1459" s="3">
        <v>0</v>
      </c>
      <c r="S1459" s="23" t="s">
        <v>5949</v>
      </c>
      <c r="T1459" s="23" t="s">
        <v>4931</v>
      </c>
      <c r="U1459" s="3">
        <v>34</v>
      </c>
      <c r="W1459" s="45" t="str">
        <f>HYPERLINK("http://ictvonline.org/taxonomy/p/taxonomy-history?taxnode_id=201853133","ICTVonline=201853133")</f>
        <v>ICTVonline=201853133</v>
      </c>
      <c r="AA1459" s="1">
        <v>201850000</v>
      </c>
      <c r="AB1459" s="1">
        <v>34</v>
      </c>
    </row>
    <row r="1460" spans="1:28" x14ac:dyDescent="0.15">
      <c r="A1460" s="1">
        <v>3851</v>
      </c>
      <c r="B1460" s="1" t="s">
        <v>7159</v>
      </c>
      <c r="L1460" s="1" t="s">
        <v>1133</v>
      </c>
      <c r="N1460" s="1" t="s">
        <v>1191</v>
      </c>
      <c r="P1460" s="1" t="s">
        <v>4689</v>
      </c>
      <c r="Q1460" s="3">
        <v>0</v>
      </c>
      <c r="S1460" s="23" t="s">
        <v>5949</v>
      </c>
      <c r="T1460" s="23" t="s">
        <v>4931</v>
      </c>
      <c r="U1460" s="3">
        <v>34</v>
      </c>
      <c r="W1460" s="45" t="str">
        <f>HYPERLINK("http://ictvonline.org/taxonomy/p/taxonomy-history?taxnode_id=201853134","ICTVonline=201853134")</f>
        <v>ICTVonline=201853134</v>
      </c>
      <c r="AA1460" s="1">
        <v>201850000</v>
      </c>
      <c r="AB1460" s="1">
        <v>34</v>
      </c>
    </row>
    <row r="1461" spans="1:28" x14ac:dyDescent="0.15">
      <c r="A1461" s="1">
        <v>3853</v>
      </c>
      <c r="B1461" s="1" t="s">
        <v>7159</v>
      </c>
      <c r="L1461" s="1" t="s">
        <v>1133</v>
      </c>
      <c r="N1461" s="1" t="s">
        <v>1191</v>
      </c>
      <c r="P1461" s="1" t="s">
        <v>4690</v>
      </c>
      <c r="Q1461" s="3">
        <v>0</v>
      </c>
      <c r="S1461" s="23" t="s">
        <v>5949</v>
      </c>
      <c r="T1461" s="23" t="s">
        <v>4931</v>
      </c>
      <c r="U1461" s="3">
        <v>34</v>
      </c>
      <c r="W1461" s="45" t="str">
        <f>HYPERLINK("http://ictvonline.org/taxonomy/p/taxonomy-history?taxnode_id=201853135","ICTVonline=201853135")</f>
        <v>ICTVonline=201853135</v>
      </c>
      <c r="AA1461" s="1">
        <v>201850000</v>
      </c>
      <c r="AB1461" s="1">
        <v>34</v>
      </c>
    </row>
    <row r="1462" spans="1:28" x14ac:dyDescent="0.15">
      <c r="A1462" s="1">
        <v>3855</v>
      </c>
      <c r="B1462" s="1" t="s">
        <v>7159</v>
      </c>
      <c r="L1462" s="1" t="s">
        <v>1133</v>
      </c>
      <c r="N1462" s="1" t="s">
        <v>1191</v>
      </c>
      <c r="P1462" s="1" t="s">
        <v>4691</v>
      </c>
      <c r="Q1462" s="3">
        <v>0</v>
      </c>
      <c r="S1462" s="23" t="s">
        <v>5949</v>
      </c>
      <c r="T1462" s="23" t="s">
        <v>4931</v>
      </c>
      <c r="U1462" s="3">
        <v>34</v>
      </c>
      <c r="W1462" s="45" t="str">
        <f>HYPERLINK("http://ictvonline.org/taxonomy/p/taxonomy-history?taxnode_id=201853136","ICTVonline=201853136")</f>
        <v>ICTVonline=201853136</v>
      </c>
      <c r="AA1462" s="1">
        <v>201850000</v>
      </c>
      <c r="AB1462" s="1">
        <v>34</v>
      </c>
    </row>
    <row r="1463" spans="1:28" x14ac:dyDescent="0.15">
      <c r="A1463" s="1">
        <v>3857</v>
      </c>
      <c r="B1463" s="1" t="s">
        <v>7159</v>
      </c>
      <c r="L1463" s="1" t="s">
        <v>1133</v>
      </c>
      <c r="N1463" s="1" t="s">
        <v>1191</v>
      </c>
      <c r="P1463" s="1" t="s">
        <v>4692</v>
      </c>
      <c r="Q1463" s="3">
        <v>0</v>
      </c>
      <c r="S1463" s="23" t="s">
        <v>5949</v>
      </c>
      <c r="T1463" s="23" t="s">
        <v>4931</v>
      </c>
      <c r="U1463" s="3">
        <v>34</v>
      </c>
      <c r="W1463" s="45" t="str">
        <f>HYPERLINK("http://ictvonline.org/taxonomy/p/taxonomy-history?taxnode_id=201853137","ICTVonline=201853137")</f>
        <v>ICTVonline=201853137</v>
      </c>
      <c r="AA1463" s="1">
        <v>201850000</v>
      </c>
      <c r="AB1463" s="1">
        <v>34</v>
      </c>
    </row>
    <row r="1464" spans="1:28" x14ac:dyDescent="0.15">
      <c r="A1464" s="1">
        <v>3859</v>
      </c>
      <c r="B1464" s="1" t="s">
        <v>7159</v>
      </c>
      <c r="L1464" s="1" t="s">
        <v>1133</v>
      </c>
      <c r="N1464" s="1" t="s">
        <v>1191</v>
      </c>
      <c r="P1464" s="1" t="s">
        <v>4693</v>
      </c>
      <c r="Q1464" s="3">
        <v>0</v>
      </c>
      <c r="S1464" s="23" t="s">
        <v>5949</v>
      </c>
      <c r="T1464" s="23" t="s">
        <v>4931</v>
      </c>
      <c r="U1464" s="3">
        <v>34</v>
      </c>
      <c r="W1464" s="45" t="str">
        <f>HYPERLINK("http://ictvonline.org/taxonomy/p/taxonomy-history?taxnode_id=201853138","ICTVonline=201853138")</f>
        <v>ICTVonline=201853138</v>
      </c>
      <c r="AA1464" s="1">
        <v>201850000</v>
      </c>
      <c r="AB1464" s="1">
        <v>34</v>
      </c>
    </row>
    <row r="1465" spans="1:28" x14ac:dyDescent="0.15">
      <c r="A1465" s="1">
        <v>3863</v>
      </c>
      <c r="B1465" s="1" t="s">
        <v>7159</v>
      </c>
      <c r="L1465" s="1" t="s">
        <v>1133</v>
      </c>
      <c r="N1465" s="1" t="s">
        <v>2229</v>
      </c>
      <c r="P1465" s="1" t="s">
        <v>2230</v>
      </c>
      <c r="Q1465" s="3">
        <v>1</v>
      </c>
      <c r="S1465" s="23" t="s">
        <v>5949</v>
      </c>
      <c r="T1465" s="23" t="s">
        <v>4931</v>
      </c>
      <c r="U1465" s="3">
        <v>34</v>
      </c>
      <c r="W1465" s="45" t="str">
        <f>HYPERLINK("http://ictvonline.org/taxonomy/p/taxonomy-history?taxnode_id=201853140","ICTVonline=201853140")</f>
        <v>ICTVonline=201853140</v>
      </c>
      <c r="AA1465" s="1">
        <v>201850000</v>
      </c>
      <c r="AB1465" s="1">
        <v>34</v>
      </c>
    </row>
    <row r="1466" spans="1:28" x14ac:dyDescent="0.15">
      <c r="A1466" s="1">
        <v>3865</v>
      </c>
      <c r="B1466" s="1" t="s">
        <v>7159</v>
      </c>
      <c r="L1466" s="1" t="s">
        <v>1133</v>
      </c>
      <c r="N1466" s="1" t="s">
        <v>2229</v>
      </c>
      <c r="P1466" s="1" t="s">
        <v>2231</v>
      </c>
      <c r="Q1466" s="3">
        <v>0</v>
      </c>
      <c r="S1466" s="23" t="s">
        <v>5949</v>
      </c>
      <c r="T1466" s="23" t="s">
        <v>4931</v>
      </c>
      <c r="U1466" s="3">
        <v>34</v>
      </c>
      <c r="W1466" s="45" t="str">
        <f>HYPERLINK("http://ictvonline.org/taxonomy/p/taxonomy-history?taxnode_id=201853141","ICTVonline=201853141")</f>
        <v>ICTVonline=201853141</v>
      </c>
      <c r="AA1466" s="1">
        <v>201850000</v>
      </c>
      <c r="AB1466" s="1">
        <v>34</v>
      </c>
    </row>
    <row r="1467" spans="1:28" x14ac:dyDescent="0.15">
      <c r="A1467" s="1">
        <v>3867</v>
      </c>
      <c r="B1467" s="1" t="s">
        <v>7159</v>
      </c>
      <c r="L1467" s="1" t="s">
        <v>1133</v>
      </c>
      <c r="N1467" s="1" t="s">
        <v>2229</v>
      </c>
      <c r="P1467" s="1" t="s">
        <v>4694</v>
      </c>
      <c r="Q1467" s="3">
        <v>0</v>
      </c>
      <c r="S1467" s="23" t="s">
        <v>5949</v>
      </c>
      <c r="T1467" s="23" t="s">
        <v>4931</v>
      </c>
      <c r="U1467" s="3">
        <v>34</v>
      </c>
      <c r="W1467" s="45" t="str">
        <f>HYPERLINK("http://ictvonline.org/taxonomy/p/taxonomy-history?taxnode_id=201853142","ICTVonline=201853142")</f>
        <v>ICTVonline=201853142</v>
      </c>
      <c r="AA1467" s="1">
        <v>201850000</v>
      </c>
      <c r="AB1467" s="1">
        <v>34</v>
      </c>
    </row>
    <row r="1468" spans="1:28" x14ac:dyDescent="0.15">
      <c r="A1468" s="1">
        <v>3869</v>
      </c>
      <c r="B1468" s="1" t="s">
        <v>7159</v>
      </c>
      <c r="L1468" s="1" t="s">
        <v>1133</v>
      </c>
      <c r="N1468" s="1" t="s">
        <v>2229</v>
      </c>
      <c r="P1468" s="1" t="s">
        <v>4695</v>
      </c>
      <c r="Q1468" s="3">
        <v>0</v>
      </c>
      <c r="S1468" s="23" t="s">
        <v>5949</v>
      </c>
      <c r="T1468" s="23" t="s">
        <v>4931</v>
      </c>
      <c r="U1468" s="3">
        <v>34</v>
      </c>
      <c r="W1468" s="45" t="str">
        <f>HYPERLINK("http://ictvonline.org/taxonomy/p/taxonomy-history?taxnode_id=201853143","ICTVonline=201853143")</f>
        <v>ICTVonline=201853143</v>
      </c>
      <c r="AA1468" s="1">
        <v>201850000</v>
      </c>
      <c r="AB1468" s="1">
        <v>34</v>
      </c>
    </row>
    <row r="1469" spans="1:28" x14ac:dyDescent="0.15">
      <c r="A1469" s="1">
        <v>3871</v>
      </c>
      <c r="B1469" s="1" t="s">
        <v>7159</v>
      </c>
      <c r="L1469" s="1" t="s">
        <v>1133</v>
      </c>
      <c r="N1469" s="1" t="s">
        <v>2229</v>
      </c>
      <c r="P1469" s="1" t="s">
        <v>4696</v>
      </c>
      <c r="Q1469" s="3">
        <v>0</v>
      </c>
      <c r="S1469" s="23" t="s">
        <v>5949</v>
      </c>
      <c r="T1469" s="23" t="s">
        <v>4931</v>
      </c>
      <c r="U1469" s="3">
        <v>34</v>
      </c>
      <c r="W1469" s="45" t="str">
        <f>HYPERLINK("http://ictvonline.org/taxonomy/p/taxonomy-history?taxnode_id=201853144","ICTVonline=201853144")</f>
        <v>ICTVonline=201853144</v>
      </c>
      <c r="AA1469" s="1">
        <v>201850000</v>
      </c>
      <c r="AB1469" s="1">
        <v>34</v>
      </c>
    </row>
    <row r="1470" spans="1:28" x14ac:dyDescent="0.15">
      <c r="A1470" s="1">
        <v>3873</v>
      </c>
      <c r="B1470" s="1" t="s">
        <v>7159</v>
      </c>
      <c r="L1470" s="1" t="s">
        <v>1133</v>
      </c>
      <c r="N1470" s="1" t="s">
        <v>2229</v>
      </c>
      <c r="P1470" s="1" t="s">
        <v>4697</v>
      </c>
      <c r="Q1470" s="3">
        <v>0</v>
      </c>
      <c r="S1470" s="23" t="s">
        <v>5949</v>
      </c>
      <c r="T1470" s="23" t="s">
        <v>4931</v>
      </c>
      <c r="U1470" s="3">
        <v>34</v>
      </c>
      <c r="W1470" s="45" t="str">
        <f>HYPERLINK("http://ictvonline.org/taxonomy/p/taxonomy-history?taxnode_id=201853145","ICTVonline=201853145")</f>
        <v>ICTVonline=201853145</v>
      </c>
      <c r="AA1470" s="1">
        <v>201850000</v>
      </c>
      <c r="AB1470" s="1">
        <v>34</v>
      </c>
    </row>
    <row r="1471" spans="1:28" x14ac:dyDescent="0.15">
      <c r="A1471" s="1">
        <v>3875</v>
      </c>
      <c r="B1471" s="1" t="s">
        <v>7159</v>
      </c>
      <c r="L1471" s="1" t="s">
        <v>1133</v>
      </c>
      <c r="N1471" s="1" t="s">
        <v>2229</v>
      </c>
      <c r="P1471" s="1" t="s">
        <v>4698</v>
      </c>
      <c r="Q1471" s="3">
        <v>0</v>
      </c>
      <c r="S1471" s="23" t="s">
        <v>5949</v>
      </c>
      <c r="T1471" s="23" t="s">
        <v>4931</v>
      </c>
      <c r="U1471" s="3">
        <v>34</v>
      </c>
      <c r="W1471" s="45" t="str">
        <f>HYPERLINK("http://ictvonline.org/taxonomy/p/taxonomy-history?taxnode_id=201853146","ICTVonline=201853146")</f>
        <v>ICTVonline=201853146</v>
      </c>
      <c r="AA1471" s="1">
        <v>201850000</v>
      </c>
      <c r="AB1471" s="1">
        <v>34</v>
      </c>
    </row>
    <row r="1472" spans="1:28" x14ac:dyDescent="0.15">
      <c r="A1472" s="1">
        <v>3877</v>
      </c>
      <c r="B1472" s="1" t="s">
        <v>7159</v>
      </c>
      <c r="L1472" s="1" t="s">
        <v>1133</v>
      </c>
      <c r="N1472" s="1" t="s">
        <v>2229</v>
      </c>
      <c r="P1472" s="1" t="s">
        <v>4699</v>
      </c>
      <c r="Q1472" s="3">
        <v>0</v>
      </c>
      <c r="S1472" s="23" t="s">
        <v>5949</v>
      </c>
      <c r="T1472" s="23" t="s">
        <v>4931</v>
      </c>
      <c r="U1472" s="3">
        <v>34</v>
      </c>
      <c r="W1472" s="45" t="str">
        <f>HYPERLINK("http://ictvonline.org/taxonomy/p/taxonomy-history?taxnode_id=201853147","ICTVonline=201853147")</f>
        <v>ICTVonline=201853147</v>
      </c>
      <c r="AA1472" s="1">
        <v>201850000</v>
      </c>
      <c r="AB1472" s="1">
        <v>34</v>
      </c>
    </row>
    <row r="1473" spans="1:28" x14ac:dyDescent="0.15">
      <c r="A1473" s="1">
        <v>3879</v>
      </c>
      <c r="B1473" s="1" t="s">
        <v>7159</v>
      </c>
      <c r="L1473" s="1" t="s">
        <v>1133</v>
      </c>
      <c r="N1473" s="1" t="s">
        <v>2229</v>
      </c>
      <c r="P1473" s="1" t="s">
        <v>4700</v>
      </c>
      <c r="Q1473" s="3">
        <v>0</v>
      </c>
      <c r="S1473" s="23" t="s">
        <v>5949</v>
      </c>
      <c r="T1473" s="23" t="s">
        <v>4931</v>
      </c>
      <c r="U1473" s="3">
        <v>34</v>
      </c>
      <c r="W1473" s="45" t="str">
        <f>HYPERLINK("http://ictvonline.org/taxonomy/p/taxonomy-history?taxnode_id=201853148","ICTVonline=201853148")</f>
        <v>ICTVonline=201853148</v>
      </c>
      <c r="AA1473" s="1">
        <v>201850000</v>
      </c>
      <c r="AB1473" s="1">
        <v>34</v>
      </c>
    </row>
    <row r="1474" spans="1:28" x14ac:dyDescent="0.15">
      <c r="A1474" s="1">
        <v>3881</v>
      </c>
      <c r="B1474" s="1" t="s">
        <v>7159</v>
      </c>
      <c r="L1474" s="1" t="s">
        <v>1133</v>
      </c>
      <c r="N1474" s="1" t="s">
        <v>2229</v>
      </c>
      <c r="P1474" s="1" t="s">
        <v>4701</v>
      </c>
      <c r="Q1474" s="3">
        <v>0</v>
      </c>
      <c r="S1474" s="23" t="s">
        <v>5949</v>
      </c>
      <c r="T1474" s="23" t="s">
        <v>4931</v>
      </c>
      <c r="U1474" s="3">
        <v>34</v>
      </c>
      <c r="W1474" s="45" t="str">
        <f>HYPERLINK("http://ictvonline.org/taxonomy/p/taxonomy-history?taxnode_id=201853149","ICTVonline=201853149")</f>
        <v>ICTVonline=201853149</v>
      </c>
      <c r="AA1474" s="1">
        <v>201850000</v>
      </c>
      <c r="AB1474" s="1">
        <v>34</v>
      </c>
    </row>
    <row r="1475" spans="1:28" x14ac:dyDescent="0.15">
      <c r="A1475" s="1">
        <v>3883</v>
      </c>
      <c r="B1475" s="1" t="s">
        <v>7159</v>
      </c>
      <c r="L1475" s="1" t="s">
        <v>1133</v>
      </c>
      <c r="N1475" s="1" t="s">
        <v>2229</v>
      </c>
      <c r="P1475" s="1" t="s">
        <v>4702</v>
      </c>
      <c r="Q1475" s="3">
        <v>0</v>
      </c>
      <c r="S1475" s="23" t="s">
        <v>5949</v>
      </c>
      <c r="T1475" s="23" t="s">
        <v>4931</v>
      </c>
      <c r="U1475" s="3">
        <v>34</v>
      </c>
      <c r="W1475" s="45" t="str">
        <f>HYPERLINK("http://ictvonline.org/taxonomy/p/taxonomy-history?taxnode_id=201853150","ICTVonline=201853150")</f>
        <v>ICTVonline=201853150</v>
      </c>
      <c r="AA1475" s="1">
        <v>201850000</v>
      </c>
      <c r="AB1475" s="1">
        <v>34</v>
      </c>
    </row>
    <row r="1476" spans="1:28" x14ac:dyDescent="0.15">
      <c r="A1476" s="1">
        <v>3887</v>
      </c>
      <c r="B1476" s="1" t="s">
        <v>7159</v>
      </c>
      <c r="L1476" s="1" t="s">
        <v>1133</v>
      </c>
      <c r="N1476" s="1" t="s">
        <v>1192</v>
      </c>
      <c r="P1476" s="1" t="s">
        <v>5360</v>
      </c>
      <c r="Q1476" s="3">
        <v>1</v>
      </c>
      <c r="S1476" s="23" t="s">
        <v>5949</v>
      </c>
      <c r="T1476" s="23" t="s">
        <v>4931</v>
      </c>
      <c r="U1476" s="3">
        <v>34</v>
      </c>
      <c r="W1476" s="45" t="str">
        <f>HYPERLINK("http://ictvonline.org/taxonomy/p/taxonomy-history?taxnode_id=201853153","ICTVonline=201853153")</f>
        <v>ICTVonline=201853153</v>
      </c>
      <c r="AA1476" s="1">
        <v>201850000</v>
      </c>
      <c r="AB1476" s="1">
        <v>34</v>
      </c>
    </row>
    <row r="1477" spans="1:28" x14ac:dyDescent="0.15">
      <c r="A1477" s="1">
        <v>3889</v>
      </c>
      <c r="B1477" s="1" t="s">
        <v>7159</v>
      </c>
      <c r="L1477" s="1" t="s">
        <v>1133</v>
      </c>
      <c r="N1477" s="1" t="s">
        <v>1192</v>
      </c>
      <c r="P1477" s="1" t="s">
        <v>5361</v>
      </c>
      <c r="Q1477" s="3">
        <v>0</v>
      </c>
      <c r="S1477" s="23" t="s">
        <v>5949</v>
      </c>
      <c r="T1477" s="23" t="s">
        <v>4931</v>
      </c>
      <c r="U1477" s="3">
        <v>34</v>
      </c>
      <c r="W1477" s="45" t="str">
        <f>HYPERLINK("http://ictvonline.org/taxonomy/p/taxonomy-history?taxnode_id=201853154","ICTVonline=201853154")</f>
        <v>ICTVonline=201853154</v>
      </c>
      <c r="AA1477" s="1">
        <v>201850000</v>
      </c>
      <c r="AB1477" s="1">
        <v>34</v>
      </c>
    </row>
    <row r="1478" spans="1:28" x14ac:dyDescent="0.15">
      <c r="A1478" s="1">
        <v>3891</v>
      </c>
      <c r="B1478" s="1" t="s">
        <v>7159</v>
      </c>
      <c r="L1478" s="1" t="s">
        <v>1133</v>
      </c>
      <c r="N1478" s="1" t="s">
        <v>1192</v>
      </c>
      <c r="P1478" s="1" t="s">
        <v>5362</v>
      </c>
      <c r="Q1478" s="3">
        <v>0</v>
      </c>
      <c r="S1478" s="23" t="s">
        <v>5949</v>
      </c>
      <c r="T1478" s="23" t="s">
        <v>4931</v>
      </c>
      <c r="U1478" s="3">
        <v>34</v>
      </c>
      <c r="W1478" s="45" t="str">
        <f>HYPERLINK("http://ictvonline.org/taxonomy/p/taxonomy-history?taxnode_id=201853155","ICTVonline=201853155")</f>
        <v>ICTVonline=201853155</v>
      </c>
      <c r="AA1478" s="1">
        <v>201850000</v>
      </c>
      <c r="AB1478" s="1">
        <v>34</v>
      </c>
    </row>
    <row r="1479" spans="1:28" x14ac:dyDescent="0.15">
      <c r="A1479" s="1">
        <v>3893</v>
      </c>
      <c r="B1479" s="1" t="s">
        <v>7159</v>
      </c>
      <c r="L1479" s="1" t="s">
        <v>1133</v>
      </c>
      <c r="N1479" s="1" t="s">
        <v>1192</v>
      </c>
      <c r="P1479" s="1" t="s">
        <v>5363</v>
      </c>
      <c r="Q1479" s="3">
        <v>0</v>
      </c>
      <c r="S1479" s="23" t="s">
        <v>5949</v>
      </c>
      <c r="T1479" s="23" t="s">
        <v>4931</v>
      </c>
      <c r="U1479" s="3">
        <v>34</v>
      </c>
      <c r="W1479" s="45" t="str">
        <f>HYPERLINK("http://ictvonline.org/taxonomy/p/taxonomy-history?taxnode_id=201853152","ICTVonline=201853152")</f>
        <v>ICTVonline=201853152</v>
      </c>
      <c r="AA1479" s="1">
        <v>201850000</v>
      </c>
      <c r="AB1479" s="1">
        <v>34</v>
      </c>
    </row>
    <row r="1480" spans="1:28" x14ac:dyDescent="0.15">
      <c r="A1480" s="1">
        <v>3895</v>
      </c>
      <c r="B1480" s="1" t="s">
        <v>7159</v>
      </c>
      <c r="L1480" s="1" t="s">
        <v>1133</v>
      </c>
      <c r="N1480" s="1" t="s">
        <v>1192</v>
      </c>
      <c r="P1480" s="1" t="s">
        <v>5364</v>
      </c>
      <c r="Q1480" s="3">
        <v>0</v>
      </c>
      <c r="S1480" s="23" t="s">
        <v>5949</v>
      </c>
      <c r="T1480" s="23" t="s">
        <v>4931</v>
      </c>
      <c r="U1480" s="3">
        <v>34</v>
      </c>
      <c r="W1480" s="45" t="str">
        <f>HYPERLINK("http://ictvonline.org/taxonomy/p/taxonomy-history?taxnode_id=201855780","ICTVonline=201855780")</f>
        <v>ICTVonline=201855780</v>
      </c>
      <c r="AA1480" s="1">
        <v>201850000</v>
      </c>
      <c r="AB1480" s="1">
        <v>34</v>
      </c>
    </row>
    <row r="1481" spans="1:28" x14ac:dyDescent="0.15">
      <c r="A1481" s="1">
        <v>3897</v>
      </c>
      <c r="B1481" s="1" t="s">
        <v>7159</v>
      </c>
      <c r="L1481" s="1" t="s">
        <v>1133</v>
      </c>
      <c r="N1481" s="1" t="s">
        <v>1192</v>
      </c>
      <c r="P1481" s="1" t="s">
        <v>5365</v>
      </c>
      <c r="Q1481" s="3">
        <v>0</v>
      </c>
      <c r="S1481" s="23" t="s">
        <v>5949</v>
      </c>
      <c r="T1481" s="23" t="s">
        <v>4931</v>
      </c>
      <c r="U1481" s="3">
        <v>34</v>
      </c>
      <c r="W1481" s="45" t="str">
        <f>HYPERLINK("http://ictvonline.org/taxonomy/p/taxonomy-history?taxnode_id=201855781","ICTVonline=201855781")</f>
        <v>ICTVonline=201855781</v>
      </c>
      <c r="AA1481" s="1">
        <v>201850000</v>
      </c>
      <c r="AB1481" s="1">
        <v>34</v>
      </c>
    </row>
    <row r="1482" spans="1:28" x14ac:dyDescent="0.15">
      <c r="A1482" s="1">
        <v>3899</v>
      </c>
      <c r="B1482" s="1" t="s">
        <v>7159</v>
      </c>
      <c r="L1482" s="1" t="s">
        <v>1133</v>
      </c>
      <c r="N1482" s="1" t="s">
        <v>1192</v>
      </c>
      <c r="P1482" s="1" t="s">
        <v>5366</v>
      </c>
      <c r="Q1482" s="3">
        <v>0</v>
      </c>
      <c r="S1482" s="23" t="s">
        <v>5949</v>
      </c>
      <c r="T1482" s="23" t="s">
        <v>4931</v>
      </c>
      <c r="U1482" s="3">
        <v>34</v>
      </c>
      <c r="W1482" s="45" t="str">
        <f>HYPERLINK("http://ictvonline.org/taxonomy/p/taxonomy-history?taxnode_id=201855782","ICTVonline=201855782")</f>
        <v>ICTVonline=201855782</v>
      </c>
      <c r="AA1482" s="1">
        <v>201850000</v>
      </c>
      <c r="AB1482" s="1">
        <v>34</v>
      </c>
    </row>
    <row r="1483" spans="1:28" x14ac:dyDescent="0.15">
      <c r="A1483" s="1">
        <v>3901</v>
      </c>
      <c r="B1483" s="1" t="s">
        <v>7159</v>
      </c>
      <c r="L1483" s="1" t="s">
        <v>1133</v>
      </c>
      <c r="N1483" s="1" t="s">
        <v>1192</v>
      </c>
      <c r="P1483" s="1" t="s">
        <v>5367</v>
      </c>
      <c r="Q1483" s="3">
        <v>0</v>
      </c>
      <c r="S1483" s="23" t="s">
        <v>5949</v>
      </c>
      <c r="T1483" s="23" t="s">
        <v>4931</v>
      </c>
      <c r="U1483" s="3">
        <v>34</v>
      </c>
      <c r="W1483" s="45" t="str">
        <f>HYPERLINK("http://ictvonline.org/taxonomy/p/taxonomy-history?taxnode_id=201855783","ICTVonline=201855783")</f>
        <v>ICTVonline=201855783</v>
      </c>
      <c r="AA1483" s="1">
        <v>201850000</v>
      </c>
      <c r="AB1483" s="1">
        <v>34</v>
      </c>
    </row>
    <row r="1484" spans="1:28" x14ac:dyDescent="0.15">
      <c r="A1484" s="1">
        <v>3903</v>
      </c>
      <c r="B1484" s="1" t="s">
        <v>7159</v>
      </c>
      <c r="L1484" s="1" t="s">
        <v>1133</v>
      </c>
      <c r="N1484" s="1" t="s">
        <v>1192</v>
      </c>
      <c r="P1484" s="1" t="s">
        <v>5368</v>
      </c>
      <c r="Q1484" s="3">
        <v>0</v>
      </c>
      <c r="S1484" s="23" t="s">
        <v>5949</v>
      </c>
      <c r="T1484" s="23" t="s">
        <v>4931</v>
      </c>
      <c r="U1484" s="3">
        <v>34</v>
      </c>
      <c r="W1484" s="45" t="str">
        <f>HYPERLINK("http://ictvonline.org/taxonomy/p/taxonomy-history?taxnode_id=201855784","ICTVonline=201855784")</f>
        <v>ICTVonline=201855784</v>
      </c>
      <c r="AA1484" s="1">
        <v>201850000</v>
      </c>
      <c r="AB1484" s="1">
        <v>34</v>
      </c>
    </row>
    <row r="1485" spans="1:28" x14ac:dyDescent="0.15">
      <c r="A1485" s="1">
        <v>3905</v>
      </c>
      <c r="B1485" s="1" t="s">
        <v>7159</v>
      </c>
      <c r="L1485" s="1" t="s">
        <v>1133</v>
      </c>
      <c r="N1485" s="1" t="s">
        <v>1192</v>
      </c>
      <c r="P1485" s="1" t="s">
        <v>5369</v>
      </c>
      <c r="Q1485" s="3">
        <v>0</v>
      </c>
      <c r="S1485" s="23" t="s">
        <v>5949</v>
      </c>
      <c r="T1485" s="23" t="s">
        <v>4931</v>
      </c>
      <c r="U1485" s="3">
        <v>34</v>
      </c>
      <c r="W1485" s="45" t="str">
        <f>HYPERLINK("http://ictvonline.org/taxonomy/p/taxonomy-history?taxnode_id=201855785","ICTVonline=201855785")</f>
        <v>ICTVonline=201855785</v>
      </c>
      <c r="AA1485" s="1">
        <v>201850000</v>
      </c>
      <c r="AB1485" s="1">
        <v>34</v>
      </c>
    </row>
    <row r="1486" spans="1:28" x14ac:dyDescent="0.15">
      <c r="A1486" s="1">
        <v>3907</v>
      </c>
      <c r="B1486" s="1" t="s">
        <v>7159</v>
      </c>
      <c r="L1486" s="1" t="s">
        <v>1133</v>
      </c>
      <c r="N1486" s="1" t="s">
        <v>1192</v>
      </c>
      <c r="P1486" s="1" t="s">
        <v>5370</v>
      </c>
      <c r="Q1486" s="3">
        <v>0</v>
      </c>
      <c r="S1486" s="23" t="s">
        <v>5949</v>
      </c>
      <c r="T1486" s="23" t="s">
        <v>4931</v>
      </c>
      <c r="U1486" s="3">
        <v>34</v>
      </c>
      <c r="W1486" s="45" t="str">
        <f>HYPERLINK("http://ictvonline.org/taxonomy/p/taxonomy-history?taxnode_id=201855786","ICTVonline=201855786")</f>
        <v>ICTVonline=201855786</v>
      </c>
      <c r="AA1486" s="1">
        <v>201850000</v>
      </c>
      <c r="AB1486" s="1">
        <v>34</v>
      </c>
    </row>
    <row r="1487" spans="1:28" x14ac:dyDescent="0.15">
      <c r="A1487" s="1">
        <v>3913</v>
      </c>
      <c r="B1487" s="1" t="s">
        <v>7159</v>
      </c>
      <c r="L1487" s="1" t="s">
        <v>1080</v>
      </c>
      <c r="N1487" s="1" t="s">
        <v>2682</v>
      </c>
      <c r="P1487" s="1" t="s">
        <v>2683</v>
      </c>
      <c r="Q1487" s="3">
        <v>1</v>
      </c>
      <c r="S1487" s="23" t="s">
        <v>5949</v>
      </c>
      <c r="T1487" s="23" t="s">
        <v>4931</v>
      </c>
      <c r="U1487" s="3">
        <v>34</v>
      </c>
      <c r="W1487" s="45" t="str">
        <f>HYPERLINK("http://ictvonline.org/taxonomy/p/taxonomy-history?taxnode_id=201853665","ICTVonline=201853665")</f>
        <v>ICTVonline=201853665</v>
      </c>
      <c r="AA1487" s="1">
        <v>201850000</v>
      </c>
      <c r="AB1487" s="1">
        <v>34</v>
      </c>
    </row>
    <row r="1488" spans="1:28" x14ac:dyDescent="0.15">
      <c r="A1488" s="1">
        <v>3915</v>
      </c>
      <c r="B1488" s="1" t="s">
        <v>7159</v>
      </c>
      <c r="L1488" s="1" t="s">
        <v>1080</v>
      </c>
      <c r="N1488" s="1" t="s">
        <v>2682</v>
      </c>
      <c r="P1488" s="1" t="s">
        <v>2684</v>
      </c>
      <c r="Q1488" s="3">
        <v>0</v>
      </c>
      <c r="S1488" s="23" t="s">
        <v>5949</v>
      </c>
      <c r="T1488" s="23" t="s">
        <v>4931</v>
      </c>
      <c r="U1488" s="3">
        <v>34</v>
      </c>
      <c r="W1488" s="45" t="str">
        <f>HYPERLINK("http://ictvonline.org/taxonomy/p/taxonomy-history?taxnode_id=201853666","ICTVonline=201853666")</f>
        <v>ICTVonline=201853666</v>
      </c>
      <c r="AA1488" s="1">
        <v>201850000</v>
      </c>
      <c r="AB1488" s="1">
        <v>34</v>
      </c>
    </row>
    <row r="1489" spans="1:28" x14ac:dyDescent="0.15">
      <c r="A1489" s="1">
        <v>3917</v>
      </c>
      <c r="B1489" s="1" t="s">
        <v>7159</v>
      </c>
      <c r="L1489" s="1" t="s">
        <v>1080</v>
      </c>
      <c r="N1489" s="1" t="s">
        <v>2682</v>
      </c>
      <c r="P1489" s="1" t="s">
        <v>2685</v>
      </c>
      <c r="Q1489" s="3">
        <v>0</v>
      </c>
      <c r="S1489" s="23" t="s">
        <v>5949</v>
      </c>
      <c r="T1489" s="23" t="s">
        <v>4931</v>
      </c>
      <c r="U1489" s="3">
        <v>34</v>
      </c>
      <c r="W1489" s="45" t="str">
        <f>HYPERLINK("http://ictvonline.org/taxonomy/p/taxonomy-history?taxnode_id=201853667","ICTVonline=201853667")</f>
        <v>ICTVonline=201853667</v>
      </c>
      <c r="AA1489" s="1">
        <v>201850000</v>
      </c>
      <c r="AB1489" s="1">
        <v>34</v>
      </c>
    </row>
    <row r="1490" spans="1:28" x14ac:dyDescent="0.15">
      <c r="A1490" s="1">
        <v>3919</v>
      </c>
      <c r="B1490" s="1" t="s">
        <v>7159</v>
      </c>
      <c r="L1490" s="1" t="s">
        <v>1080</v>
      </c>
      <c r="N1490" s="1" t="s">
        <v>2682</v>
      </c>
      <c r="P1490" s="1" t="s">
        <v>2686</v>
      </c>
      <c r="Q1490" s="3">
        <v>0</v>
      </c>
      <c r="S1490" s="23" t="s">
        <v>5949</v>
      </c>
      <c r="T1490" s="23" t="s">
        <v>4931</v>
      </c>
      <c r="U1490" s="3">
        <v>34</v>
      </c>
      <c r="W1490" s="45" t="str">
        <f>HYPERLINK("http://ictvonline.org/taxonomy/p/taxonomy-history?taxnode_id=201853668","ICTVonline=201853668")</f>
        <v>ICTVonline=201853668</v>
      </c>
      <c r="AA1490" s="1">
        <v>201850000</v>
      </c>
      <c r="AB1490" s="1">
        <v>34</v>
      </c>
    </row>
    <row r="1491" spans="1:28" x14ac:dyDescent="0.15">
      <c r="A1491" s="1">
        <v>3923</v>
      </c>
      <c r="B1491" s="1" t="s">
        <v>7159</v>
      </c>
      <c r="L1491" s="1" t="s">
        <v>1080</v>
      </c>
      <c r="N1491" s="1" t="s">
        <v>2687</v>
      </c>
      <c r="P1491" s="1" t="s">
        <v>2688</v>
      </c>
      <c r="Q1491" s="3">
        <v>1</v>
      </c>
      <c r="S1491" s="23" t="s">
        <v>5949</v>
      </c>
      <c r="T1491" s="23" t="s">
        <v>4931</v>
      </c>
      <c r="U1491" s="3">
        <v>34</v>
      </c>
      <c r="W1491" s="45" t="str">
        <f>HYPERLINK("http://ictvonline.org/taxonomy/p/taxonomy-history?taxnode_id=201853670","ICTVonline=201853670")</f>
        <v>ICTVonline=201853670</v>
      </c>
      <c r="AA1491" s="1">
        <v>201850000</v>
      </c>
      <c r="AB1491" s="1">
        <v>34</v>
      </c>
    </row>
    <row r="1492" spans="1:28" x14ac:dyDescent="0.15">
      <c r="A1492" s="1">
        <v>3929</v>
      </c>
      <c r="B1492" s="1" t="s">
        <v>7159</v>
      </c>
      <c r="L1492" s="1" t="s">
        <v>255</v>
      </c>
      <c r="N1492" s="1" t="s">
        <v>256</v>
      </c>
      <c r="P1492" s="1" t="s">
        <v>257</v>
      </c>
      <c r="Q1492" s="3">
        <v>1</v>
      </c>
      <c r="S1492" s="23" t="s">
        <v>5949</v>
      </c>
      <c r="T1492" s="23" t="s">
        <v>4931</v>
      </c>
      <c r="U1492" s="3">
        <v>34</v>
      </c>
      <c r="W1492" s="45" t="str">
        <f>HYPERLINK("http://ictvonline.org/taxonomy/p/taxonomy-history?taxnode_id=201853674","ICTVonline=201853674")</f>
        <v>ICTVonline=201853674</v>
      </c>
      <c r="AA1492" s="1">
        <v>201850000</v>
      </c>
      <c r="AB1492" s="1">
        <v>34</v>
      </c>
    </row>
    <row r="1493" spans="1:28" x14ac:dyDescent="0.15">
      <c r="A1493" s="1">
        <v>3931</v>
      </c>
      <c r="B1493" s="1" t="s">
        <v>7159</v>
      </c>
      <c r="L1493" s="1" t="s">
        <v>255</v>
      </c>
      <c r="N1493" s="1" t="s">
        <v>256</v>
      </c>
      <c r="P1493" s="1" t="s">
        <v>258</v>
      </c>
      <c r="Q1493" s="3">
        <v>0</v>
      </c>
      <c r="S1493" s="23" t="s">
        <v>5949</v>
      </c>
      <c r="T1493" s="23" t="s">
        <v>4931</v>
      </c>
      <c r="U1493" s="3">
        <v>34</v>
      </c>
      <c r="W1493" s="45" t="str">
        <f>HYPERLINK("http://ictvonline.org/taxonomy/p/taxonomy-history?taxnode_id=201853675","ICTVonline=201853675")</f>
        <v>ICTVonline=201853675</v>
      </c>
      <c r="AA1493" s="1">
        <v>201850000</v>
      </c>
      <c r="AB1493" s="1">
        <v>34</v>
      </c>
    </row>
    <row r="1494" spans="1:28" x14ac:dyDescent="0.15">
      <c r="A1494" s="1">
        <v>3933</v>
      </c>
      <c r="B1494" s="1" t="s">
        <v>7159</v>
      </c>
      <c r="L1494" s="1" t="s">
        <v>255</v>
      </c>
      <c r="N1494" s="1" t="s">
        <v>256</v>
      </c>
      <c r="P1494" s="1" t="s">
        <v>259</v>
      </c>
      <c r="Q1494" s="3">
        <v>0</v>
      </c>
      <c r="S1494" s="23" t="s">
        <v>5949</v>
      </c>
      <c r="T1494" s="23" t="s">
        <v>4931</v>
      </c>
      <c r="U1494" s="3">
        <v>34</v>
      </c>
      <c r="W1494" s="45" t="str">
        <f>HYPERLINK("http://ictvonline.org/taxonomy/p/taxonomy-history?taxnode_id=201853676","ICTVonline=201853676")</f>
        <v>ICTVonline=201853676</v>
      </c>
      <c r="AA1494" s="1">
        <v>201850000</v>
      </c>
      <c r="AB1494" s="1">
        <v>34</v>
      </c>
    </row>
    <row r="1495" spans="1:28" x14ac:dyDescent="0.15">
      <c r="A1495" s="1">
        <v>3935</v>
      </c>
      <c r="B1495" s="1" t="s">
        <v>7159</v>
      </c>
      <c r="L1495" s="1" t="s">
        <v>255</v>
      </c>
      <c r="N1495" s="1" t="s">
        <v>256</v>
      </c>
      <c r="P1495" s="1" t="s">
        <v>1678</v>
      </c>
      <c r="Q1495" s="3">
        <v>0</v>
      </c>
      <c r="S1495" s="23" t="s">
        <v>5949</v>
      </c>
      <c r="T1495" s="23" t="s">
        <v>4931</v>
      </c>
      <c r="U1495" s="3">
        <v>34</v>
      </c>
      <c r="W1495" s="45" t="str">
        <f>HYPERLINK("http://ictvonline.org/taxonomy/p/taxonomy-history?taxnode_id=201853677","ICTVonline=201853677")</f>
        <v>ICTVonline=201853677</v>
      </c>
      <c r="AA1495" s="1">
        <v>201850000</v>
      </c>
      <c r="AB1495" s="1">
        <v>34</v>
      </c>
    </row>
    <row r="1496" spans="1:28" x14ac:dyDescent="0.15">
      <c r="A1496" s="1">
        <v>3941</v>
      </c>
      <c r="B1496" s="1" t="s">
        <v>7159</v>
      </c>
      <c r="L1496" s="1" t="s">
        <v>1107</v>
      </c>
      <c r="N1496" s="1" t="s">
        <v>1108</v>
      </c>
      <c r="P1496" s="1" t="s">
        <v>3853</v>
      </c>
      <c r="Q1496" s="3">
        <v>0</v>
      </c>
      <c r="S1496" s="23" t="s">
        <v>5949</v>
      </c>
      <c r="T1496" s="23" t="s">
        <v>4931</v>
      </c>
      <c r="U1496" s="3">
        <v>34</v>
      </c>
      <c r="W1496" s="45" t="str">
        <f>HYPERLINK("http://ictvonline.org/taxonomy/p/taxonomy-history?taxnode_id=201853754","ICTVonline=201853754")</f>
        <v>ICTVonline=201853754</v>
      </c>
      <c r="AA1496" s="1">
        <v>201850000</v>
      </c>
      <c r="AB1496" s="1">
        <v>34</v>
      </c>
    </row>
    <row r="1497" spans="1:28" x14ac:dyDescent="0.15">
      <c r="A1497" s="1">
        <v>3943</v>
      </c>
      <c r="B1497" s="1" t="s">
        <v>7159</v>
      </c>
      <c r="L1497" s="1" t="s">
        <v>1107</v>
      </c>
      <c r="N1497" s="1" t="s">
        <v>1108</v>
      </c>
      <c r="P1497" s="1" t="s">
        <v>3854</v>
      </c>
      <c r="Q1497" s="3">
        <v>1</v>
      </c>
      <c r="S1497" s="23" t="s">
        <v>5949</v>
      </c>
      <c r="T1497" s="23" t="s">
        <v>4931</v>
      </c>
      <c r="U1497" s="3">
        <v>34</v>
      </c>
      <c r="W1497" s="45" t="str">
        <f>HYPERLINK("http://ictvonline.org/taxonomy/p/taxonomy-history?taxnode_id=201853755","ICTVonline=201853755")</f>
        <v>ICTVonline=201853755</v>
      </c>
      <c r="AA1497" s="1">
        <v>201850000</v>
      </c>
      <c r="AB1497" s="1">
        <v>34</v>
      </c>
    </row>
    <row r="1498" spans="1:28" x14ac:dyDescent="0.15">
      <c r="A1498" s="1">
        <v>3947</v>
      </c>
      <c r="B1498" s="1" t="s">
        <v>7159</v>
      </c>
      <c r="L1498" s="1" t="s">
        <v>1107</v>
      </c>
      <c r="N1498" s="1" t="s">
        <v>1624</v>
      </c>
      <c r="P1498" s="1" t="s">
        <v>3855</v>
      </c>
      <c r="Q1498" s="3">
        <v>0</v>
      </c>
      <c r="S1498" s="23" t="s">
        <v>5949</v>
      </c>
      <c r="T1498" s="23" t="s">
        <v>4931</v>
      </c>
      <c r="U1498" s="3">
        <v>34</v>
      </c>
      <c r="W1498" s="45" t="str">
        <f>HYPERLINK("http://ictvonline.org/taxonomy/p/taxonomy-history?taxnode_id=201853757","ICTVonline=201853757")</f>
        <v>ICTVonline=201853757</v>
      </c>
      <c r="AA1498" s="1">
        <v>201850000</v>
      </c>
      <c r="AB1498" s="1">
        <v>34</v>
      </c>
    </row>
    <row r="1499" spans="1:28" x14ac:dyDescent="0.15">
      <c r="A1499" s="1">
        <v>3949</v>
      </c>
      <c r="B1499" s="1" t="s">
        <v>7159</v>
      </c>
      <c r="L1499" s="1" t="s">
        <v>1107</v>
      </c>
      <c r="N1499" s="1" t="s">
        <v>1624</v>
      </c>
      <c r="P1499" s="1" t="s">
        <v>3856</v>
      </c>
      <c r="Q1499" s="3">
        <v>1</v>
      </c>
      <c r="S1499" s="23" t="s">
        <v>5949</v>
      </c>
      <c r="T1499" s="23" t="s">
        <v>4931</v>
      </c>
      <c r="U1499" s="3">
        <v>34</v>
      </c>
      <c r="W1499" s="45" t="str">
        <f>HYPERLINK("http://ictvonline.org/taxonomy/p/taxonomy-history?taxnode_id=201853758","ICTVonline=201853758")</f>
        <v>ICTVonline=201853758</v>
      </c>
      <c r="AA1499" s="1">
        <v>201850000</v>
      </c>
      <c r="AB1499" s="1">
        <v>34</v>
      </c>
    </row>
    <row r="1500" spans="1:28" x14ac:dyDescent="0.15">
      <c r="A1500" s="1">
        <v>3955</v>
      </c>
      <c r="B1500" s="1" t="s">
        <v>7159</v>
      </c>
      <c r="L1500" s="1" t="s">
        <v>1969</v>
      </c>
      <c r="N1500" s="1" t="s">
        <v>1125</v>
      </c>
      <c r="P1500" s="1" t="s">
        <v>4814</v>
      </c>
      <c r="Q1500" s="3">
        <v>0</v>
      </c>
      <c r="S1500" s="23" t="s">
        <v>5949</v>
      </c>
      <c r="T1500" s="23" t="s">
        <v>4931</v>
      </c>
      <c r="U1500" s="3">
        <v>34</v>
      </c>
      <c r="W1500" s="45" t="str">
        <f>HYPERLINK("http://ictvonline.org/taxonomy/p/taxonomy-history?taxnode_id=201853762","ICTVonline=201853762")</f>
        <v>ICTVonline=201853762</v>
      </c>
      <c r="AA1500" s="1">
        <v>201850000</v>
      </c>
      <c r="AB1500" s="1">
        <v>34</v>
      </c>
    </row>
    <row r="1501" spans="1:28" x14ac:dyDescent="0.15">
      <c r="A1501" s="1">
        <v>3957</v>
      </c>
      <c r="B1501" s="1" t="s">
        <v>7159</v>
      </c>
      <c r="L1501" s="1" t="s">
        <v>1969</v>
      </c>
      <c r="N1501" s="1" t="s">
        <v>1125</v>
      </c>
      <c r="P1501" s="1" t="s">
        <v>7098</v>
      </c>
      <c r="Q1501" s="3">
        <v>0</v>
      </c>
      <c r="S1501" s="23" t="s">
        <v>5949</v>
      </c>
      <c r="T1501" s="23" t="s">
        <v>4929</v>
      </c>
      <c r="U1501" s="3">
        <v>34</v>
      </c>
      <c r="V1501" s="3" t="s">
        <v>7099</v>
      </c>
      <c r="W1501" s="45" t="str">
        <f>HYPERLINK("http://ictvonline.org/taxonomy/p/taxonomy-history?taxnode_id=201856590","ICTVonline=201856590")</f>
        <v>ICTVonline=201856590</v>
      </c>
      <c r="AA1501" s="1">
        <v>201850000</v>
      </c>
      <c r="AB1501" s="1">
        <v>34</v>
      </c>
    </row>
    <row r="1502" spans="1:28" x14ac:dyDescent="0.15">
      <c r="A1502" s="1">
        <v>3959</v>
      </c>
      <c r="B1502" s="1" t="s">
        <v>7159</v>
      </c>
      <c r="L1502" s="1" t="s">
        <v>1969</v>
      </c>
      <c r="N1502" s="1" t="s">
        <v>1125</v>
      </c>
      <c r="P1502" s="1" t="s">
        <v>7100</v>
      </c>
      <c r="Q1502" s="3">
        <v>0</v>
      </c>
      <c r="S1502" s="23" t="s">
        <v>5949</v>
      </c>
      <c r="T1502" s="23" t="s">
        <v>4929</v>
      </c>
      <c r="U1502" s="3">
        <v>34</v>
      </c>
      <c r="V1502" s="3" t="s">
        <v>7101</v>
      </c>
      <c r="W1502" s="45" t="str">
        <f>HYPERLINK("http://ictvonline.org/taxonomy/p/taxonomy-history?taxnode_id=201856585","ICTVonline=201856585")</f>
        <v>ICTVonline=201856585</v>
      </c>
      <c r="AA1502" s="1">
        <v>201850000</v>
      </c>
      <c r="AB1502" s="1">
        <v>34</v>
      </c>
    </row>
    <row r="1503" spans="1:28" x14ac:dyDescent="0.15">
      <c r="A1503" s="1">
        <v>3961</v>
      </c>
      <c r="B1503" s="1" t="s">
        <v>7159</v>
      </c>
      <c r="L1503" s="1" t="s">
        <v>1969</v>
      </c>
      <c r="N1503" s="1" t="s">
        <v>1125</v>
      </c>
      <c r="P1503" s="1" t="s">
        <v>2468</v>
      </c>
      <c r="Q1503" s="3">
        <v>1</v>
      </c>
      <c r="S1503" s="23" t="s">
        <v>5949</v>
      </c>
      <c r="T1503" s="23" t="s">
        <v>4931</v>
      </c>
      <c r="U1503" s="3">
        <v>34</v>
      </c>
      <c r="W1503" s="45" t="str">
        <f>HYPERLINK("http://ictvonline.org/taxonomy/p/taxonomy-history?taxnode_id=201853763","ICTVonline=201853763")</f>
        <v>ICTVonline=201853763</v>
      </c>
      <c r="AA1503" s="1">
        <v>201850000</v>
      </c>
      <c r="AB1503" s="1">
        <v>34</v>
      </c>
    </row>
    <row r="1504" spans="1:28" x14ac:dyDescent="0.15">
      <c r="A1504" s="1">
        <v>3965</v>
      </c>
      <c r="B1504" s="1" t="s">
        <v>7159</v>
      </c>
      <c r="L1504" s="1" t="s">
        <v>1969</v>
      </c>
      <c r="N1504" s="1" t="s">
        <v>1126</v>
      </c>
      <c r="P1504" s="1" t="s">
        <v>5450</v>
      </c>
      <c r="Q1504" s="3">
        <v>0</v>
      </c>
      <c r="S1504" s="23" t="s">
        <v>5949</v>
      </c>
      <c r="T1504" s="23" t="s">
        <v>4931</v>
      </c>
      <c r="U1504" s="3">
        <v>34</v>
      </c>
      <c r="W1504" s="45" t="str">
        <f>HYPERLINK("http://ictvonline.org/taxonomy/p/taxonomy-history?taxnode_id=201853765","ICTVonline=201853765")</f>
        <v>ICTVonline=201853765</v>
      </c>
      <c r="AA1504" s="1">
        <v>201850000</v>
      </c>
      <c r="AB1504" s="1">
        <v>34</v>
      </c>
    </row>
    <row r="1505" spans="1:28" x14ac:dyDescent="0.15">
      <c r="A1505" s="1">
        <v>3967</v>
      </c>
      <c r="B1505" s="1" t="s">
        <v>7159</v>
      </c>
      <c r="L1505" s="1" t="s">
        <v>1969</v>
      </c>
      <c r="N1505" s="1" t="s">
        <v>1126</v>
      </c>
      <c r="P1505" s="1" t="s">
        <v>5451</v>
      </c>
      <c r="Q1505" s="3">
        <v>0</v>
      </c>
      <c r="S1505" s="23" t="s">
        <v>5949</v>
      </c>
      <c r="T1505" s="23" t="s">
        <v>4931</v>
      </c>
      <c r="U1505" s="3">
        <v>34</v>
      </c>
      <c r="W1505" s="45" t="str">
        <f>HYPERLINK("http://ictvonline.org/taxonomy/p/taxonomy-history?taxnode_id=201853766","ICTVonline=201853766")</f>
        <v>ICTVonline=201853766</v>
      </c>
      <c r="AA1505" s="1">
        <v>201850000</v>
      </c>
      <c r="AB1505" s="1">
        <v>34</v>
      </c>
    </row>
    <row r="1506" spans="1:28" x14ac:dyDescent="0.15">
      <c r="A1506" s="1">
        <v>3969</v>
      </c>
      <c r="B1506" s="1" t="s">
        <v>7159</v>
      </c>
      <c r="L1506" s="1" t="s">
        <v>1969</v>
      </c>
      <c r="N1506" s="1" t="s">
        <v>1126</v>
      </c>
      <c r="P1506" s="1" t="s">
        <v>5452</v>
      </c>
      <c r="Q1506" s="3">
        <v>0</v>
      </c>
      <c r="S1506" s="23" t="s">
        <v>5949</v>
      </c>
      <c r="T1506" s="23" t="s">
        <v>4931</v>
      </c>
      <c r="U1506" s="3">
        <v>34</v>
      </c>
      <c r="W1506" s="45" t="str">
        <f>HYPERLINK("http://ictvonline.org/taxonomy/p/taxonomy-history?taxnode_id=201853767","ICTVonline=201853767")</f>
        <v>ICTVonline=201853767</v>
      </c>
      <c r="AA1506" s="1">
        <v>201850000</v>
      </c>
      <c r="AB1506" s="1">
        <v>34</v>
      </c>
    </row>
    <row r="1507" spans="1:28" x14ac:dyDescent="0.15">
      <c r="A1507" s="1">
        <v>3971</v>
      </c>
      <c r="B1507" s="1" t="s">
        <v>7159</v>
      </c>
      <c r="L1507" s="1" t="s">
        <v>1969</v>
      </c>
      <c r="N1507" s="1" t="s">
        <v>1126</v>
      </c>
      <c r="P1507" s="1" t="s">
        <v>5453</v>
      </c>
      <c r="Q1507" s="3">
        <v>0</v>
      </c>
      <c r="S1507" s="23" t="s">
        <v>5949</v>
      </c>
      <c r="T1507" s="23" t="s">
        <v>4931</v>
      </c>
      <c r="U1507" s="3">
        <v>34</v>
      </c>
      <c r="W1507" s="45" t="str">
        <f>HYPERLINK("http://ictvonline.org/taxonomy/p/taxonomy-history?taxnode_id=201853768","ICTVonline=201853768")</f>
        <v>ICTVonline=201853768</v>
      </c>
      <c r="AA1507" s="1">
        <v>201850000</v>
      </c>
      <c r="AB1507" s="1">
        <v>34</v>
      </c>
    </row>
    <row r="1508" spans="1:28" x14ac:dyDescent="0.15">
      <c r="A1508" s="1">
        <v>3973</v>
      </c>
      <c r="B1508" s="1" t="s">
        <v>7159</v>
      </c>
      <c r="L1508" s="1" t="s">
        <v>1969</v>
      </c>
      <c r="N1508" s="1" t="s">
        <v>1126</v>
      </c>
      <c r="P1508" s="1" t="s">
        <v>5454</v>
      </c>
      <c r="Q1508" s="3">
        <v>1</v>
      </c>
      <c r="S1508" s="23" t="s">
        <v>5949</v>
      </c>
      <c r="T1508" s="23" t="s">
        <v>4931</v>
      </c>
      <c r="U1508" s="3">
        <v>34</v>
      </c>
      <c r="W1508" s="45" t="str">
        <f>HYPERLINK("http://ictvonline.org/taxonomy/p/taxonomy-history?taxnode_id=201853769","ICTVonline=201853769")</f>
        <v>ICTVonline=201853769</v>
      </c>
      <c r="AA1508" s="1">
        <v>201850000</v>
      </c>
      <c r="AB1508" s="1">
        <v>34</v>
      </c>
    </row>
    <row r="1509" spans="1:28" x14ac:dyDescent="0.15">
      <c r="A1509" s="1">
        <v>3975</v>
      </c>
      <c r="B1509" s="1" t="s">
        <v>7159</v>
      </c>
      <c r="L1509" s="1" t="s">
        <v>1969</v>
      </c>
      <c r="N1509" s="1" t="s">
        <v>1126</v>
      </c>
      <c r="P1509" s="1" t="s">
        <v>1629</v>
      </c>
      <c r="Q1509" s="3">
        <v>0</v>
      </c>
      <c r="S1509" s="23" t="s">
        <v>5949</v>
      </c>
      <c r="T1509" s="23" t="s">
        <v>4931</v>
      </c>
      <c r="U1509" s="3">
        <v>34</v>
      </c>
      <c r="W1509" s="45" t="str">
        <f>HYPERLINK("http://ictvonline.org/taxonomy/p/taxonomy-history?taxnode_id=201853770","ICTVonline=201853770")</f>
        <v>ICTVonline=201853770</v>
      </c>
      <c r="AA1509" s="1">
        <v>201850000</v>
      </c>
      <c r="AB1509" s="1">
        <v>34</v>
      </c>
    </row>
    <row r="1510" spans="1:28" x14ac:dyDescent="0.15">
      <c r="A1510" s="1">
        <v>3977</v>
      </c>
      <c r="B1510" s="1" t="s">
        <v>7159</v>
      </c>
      <c r="L1510" s="1" t="s">
        <v>1969</v>
      </c>
      <c r="N1510" s="1" t="s">
        <v>1126</v>
      </c>
      <c r="P1510" s="1" t="s">
        <v>7102</v>
      </c>
      <c r="Q1510" s="3">
        <v>0</v>
      </c>
      <c r="S1510" s="23" t="s">
        <v>5949</v>
      </c>
      <c r="T1510" s="23" t="s">
        <v>4929</v>
      </c>
      <c r="U1510" s="3">
        <v>34</v>
      </c>
      <c r="V1510" s="3" t="s">
        <v>7103</v>
      </c>
      <c r="W1510" s="45" t="str">
        <f>HYPERLINK("http://ictvonline.org/taxonomy/p/taxonomy-history?taxnode_id=201856618","ICTVonline=201856618")</f>
        <v>ICTVonline=201856618</v>
      </c>
      <c r="AA1510" s="1">
        <v>201850000</v>
      </c>
      <c r="AB1510" s="1">
        <v>34</v>
      </c>
    </row>
    <row r="1511" spans="1:28" x14ac:dyDescent="0.15">
      <c r="A1511" s="1">
        <v>3979</v>
      </c>
      <c r="B1511" s="1" t="s">
        <v>7159</v>
      </c>
      <c r="L1511" s="1" t="s">
        <v>1969</v>
      </c>
      <c r="N1511" s="1" t="s">
        <v>1126</v>
      </c>
      <c r="P1511" s="1" t="s">
        <v>7104</v>
      </c>
      <c r="Q1511" s="3">
        <v>0</v>
      </c>
      <c r="S1511" s="23" t="s">
        <v>5949</v>
      </c>
      <c r="T1511" s="23" t="s">
        <v>4929</v>
      </c>
      <c r="U1511" s="3">
        <v>34</v>
      </c>
      <c r="V1511" s="3" t="s">
        <v>7105</v>
      </c>
      <c r="W1511" s="45" t="str">
        <f>HYPERLINK("http://ictvonline.org/taxonomy/p/taxonomy-history?taxnode_id=201856615","ICTVonline=201856615")</f>
        <v>ICTVonline=201856615</v>
      </c>
      <c r="AA1511" s="1">
        <v>201850000</v>
      </c>
      <c r="AB1511" s="1">
        <v>34</v>
      </c>
    </row>
    <row r="1512" spans="1:28" x14ac:dyDescent="0.15">
      <c r="A1512" s="1">
        <v>3981</v>
      </c>
      <c r="B1512" s="1" t="s">
        <v>7159</v>
      </c>
      <c r="L1512" s="1" t="s">
        <v>1969</v>
      </c>
      <c r="N1512" s="1" t="s">
        <v>1126</v>
      </c>
      <c r="P1512" s="1" t="s">
        <v>547</v>
      </c>
      <c r="Q1512" s="3">
        <v>0</v>
      </c>
      <c r="S1512" s="23" t="s">
        <v>5949</v>
      </c>
      <c r="T1512" s="23" t="s">
        <v>4931</v>
      </c>
      <c r="U1512" s="3">
        <v>34</v>
      </c>
      <c r="W1512" s="45" t="str">
        <f>HYPERLINK("http://ictvonline.org/taxonomy/p/taxonomy-history?taxnode_id=201853771","ICTVonline=201853771")</f>
        <v>ICTVonline=201853771</v>
      </c>
      <c r="AA1512" s="1">
        <v>201850000</v>
      </c>
      <c r="AB1512" s="1">
        <v>34</v>
      </c>
    </row>
    <row r="1513" spans="1:28" x14ac:dyDescent="0.15">
      <c r="A1513" s="1">
        <v>3983</v>
      </c>
      <c r="B1513" s="1" t="s">
        <v>7159</v>
      </c>
      <c r="L1513" s="1" t="s">
        <v>1969</v>
      </c>
      <c r="N1513" s="1" t="s">
        <v>1126</v>
      </c>
      <c r="P1513" s="1" t="s">
        <v>1127</v>
      </c>
      <c r="Q1513" s="3">
        <v>0</v>
      </c>
      <c r="S1513" s="23" t="s">
        <v>5949</v>
      </c>
      <c r="T1513" s="23" t="s">
        <v>4931</v>
      </c>
      <c r="U1513" s="3">
        <v>34</v>
      </c>
      <c r="W1513" s="45" t="str">
        <f>HYPERLINK("http://ictvonline.org/taxonomy/p/taxonomy-history?taxnode_id=201853772","ICTVonline=201853772")</f>
        <v>ICTVonline=201853772</v>
      </c>
      <c r="AA1513" s="1">
        <v>201850000</v>
      </c>
      <c r="AB1513" s="1">
        <v>34</v>
      </c>
    </row>
    <row r="1514" spans="1:28" x14ac:dyDescent="0.15">
      <c r="A1514" s="1">
        <v>3987</v>
      </c>
      <c r="B1514" s="1" t="s">
        <v>7159</v>
      </c>
      <c r="L1514" s="1" t="s">
        <v>1969</v>
      </c>
      <c r="N1514" s="1" t="s">
        <v>1631</v>
      </c>
      <c r="P1514" s="1" t="s">
        <v>1632</v>
      </c>
      <c r="Q1514" s="3">
        <v>0</v>
      </c>
      <c r="S1514" s="23" t="s">
        <v>5949</v>
      </c>
      <c r="T1514" s="23" t="s">
        <v>4931</v>
      </c>
      <c r="U1514" s="3">
        <v>34</v>
      </c>
      <c r="W1514" s="45" t="str">
        <f>HYPERLINK("http://ictvonline.org/taxonomy/p/taxonomy-history?taxnode_id=201853774","ICTVonline=201853774")</f>
        <v>ICTVonline=201853774</v>
      </c>
      <c r="AA1514" s="1">
        <v>201850000</v>
      </c>
      <c r="AB1514" s="1">
        <v>34</v>
      </c>
    </row>
    <row r="1515" spans="1:28" x14ac:dyDescent="0.15">
      <c r="A1515" s="1">
        <v>3989</v>
      </c>
      <c r="B1515" s="1" t="s">
        <v>7159</v>
      </c>
      <c r="L1515" s="1" t="s">
        <v>1969</v>
      </c>
      <c r="N1515" s="1" t="s">
        <v>1631</v>
      </c>
      <c r="P1515" s="1" t="s">
        <v>1974</v>
      </c>
      <c r="Q1515" s="3">
        <v>0</v>
      </c>
      <c r="S1515" s="23" t="s">
        <v>5949</v>
      </c>
      <c r="T1515" s="23" t="s">
        <v>4931</v>
      </c>
      <c r="U1515" s="3">
        <v>34</v>
      </c>
      <c r="W1515" s="45" t="str">
        <f>HYPERLINK("http://ictvonline.org/taxonomy/p/taxonomy-history?taxnode_id=201853775","ICTVonline=201853775")</f>
        <v>ICTVonline=201853775</v>
      </c>
      <c r="AA1515" s="1">
        <v>201850000</v>
      </c>
      <c r="AB1515" s="1">
        <v>34</v>
      </c>
    </row>
    <row r="1516" spans="1:28" x14ac:dyDescent="0.15">
      <c r="A1516" s="1">
        <v>3991</v>
      </c>
      <c r="B1516" s="1" t="s">
        <v>7159</v>
      </c>
      <c r="L1516" s="1" t="s">
        <v>1969</v>
      </c>
      <c r="N1516" s="1" t="s">
        <v>1631</v>
      </c>
      <c r="P1516" s="1" t="s">
        <v>1633</v>
      </c>
      <c r="Q1516" s="3">
        <v>0</v>
      </c>
      <c r="S1516" s="23" t="s">
        <v>5949</v>
      </c>
      <c r="T1516" s="23" t="s">
        <v>4931</v>
      </c>
      <c r="U1516" s="3">
        <v>34</v>
      </c>
      <c r="W1516" s="45" t="str">
        <f>HYPERLINK("http://ictvonline.org/taxonomy/p/taxonomy-history?taxnode_id=201853776","ICTVonline=201853776")</f>
        <v>ICTVonline=201853776</v>
      </c>
      <c r="AA1516" s="1">
        <v>201850000</v>
      </c>
      <c r="AB1516" s="1">
        <v>34</v>
      </c>
    </row>
    <row r="1517" spans="1:28" x14ac:dyDescent="0.15">
      <c r="A1517" s="1">
        <v>3993</v>
      </c>
      <c r="B1517" s="1" t="s">
        <v>7159</v>
      </c>
      <c r="L1517" s="1" t="s">
        <v>1969</v>
      </c>
      <c r="N1517" s="1" t="s">
        <v>1631</v>
      </c>
      <c r="P1517" s="1" t="s">
        <v>1634</v>
      </c>
      <c r="Q1517" s="3">
        <v>0</v>
      </c>
      <c r="S1517" s="23" t="s">
        <v>5949</v>
      </c>
      <c r="T1517" s="23" t="s">
        <v>4931</v>
      </c>
      <c r="U1517" s="3">
        <v>34</v>
      </c>
      <c r="W1517" s="45" t="str">
        <f>HYPERLINK("http://ictvonline.org/taxonomy/p/taxonomy-history?taxnode_id=201853777","ICTVonline=201853777")</f>
        <v>ICTVonline=201853777</v>
      </c>
      <c r="AA1517" s="1">
        <v>201850000</v>
      </c>
      <c r="AB1517" s="1">
        <v>34</v>
      </c>
    </row>
    <row r="1518" spans="1:28" x14ac:dyDescent="0.15">
      <c r="A1518" s="1">
        <v>3995</v>
      </c>
      <c r="B1518" s="1" t="s">
        <v>7159</v>
      </c>
      <c r="L1518" s="1" t="s">
        <v>1969</v>
      </c>
      <c r="N1518" s="1" t="s">
        <v>1631</v>
      </c>
      <c r="P1518" s="1" t="s">
        <v>5455</v>
      </c>
      <c r="Q1518" s="3">
        <v>0</v>
      </c>
      <c r="S1518" s="23" t="s">
        <v>5949</v>
      </c>
      <c r="T1518" s="23" t="s">
        <v>4931</v>
      </c>
      <c r="U1518" s="3">
        <v>34</v>
      </c>
      <c r="W1518" s="45" t="str">
        <f>HYPERLINK("http://ictvonline.org/taxonomy/p/taxonomy-history?taxnode_id=201853778","ICTVonline=201853778")</f>
        <v>ICTVonline=201853778</v>
      </c>
      <c r="AA1518" s="1">
        <v>201850000</v>
      </c>
      <c r="AB1518" s="1">
        <v>34</v>
      </c>
    </row>
    <row r="1519" spans="1:28" x14ac:dyDescent="0.15">
      <c r="A1519" s="1">
        <v>3997</v>
      </c>
      <c r="B1519" s="1" t="s">
        <v>7159</v>
      </c>
      <c r="L1519" s="1" t="s">
        <v>1969</v>
      </c>
      <c r="N1519" s="1" t="s">
        <v>1631</v>
      </c>
      <c r="P1519" s="1" t="s">
        <v>5456</v>
      </c>
      <c r="Q1519" s="3">
        <v>0</v>
      </c>
      <c r="S1519" s="23" t="s">
        <v>5949</v>
      </c>
      <c r="T1519" s="23" t="s">
        <v>4931</v>
      </c>
      <c r="U1519" s="3">
        <v>34</v>
      </c>
      <c r="W1519" s="45" t="str">
        <f>HYPERLINK("http://ictvonline.org/taxonomy/p/taxonomy-history?taxnode_id=201853779","ICTVonline=201853779")</f>
        <v>ICTVonline=201853779</v>
      </c>
      <c r="AA1519" s="1">
        <v>201850000</v>
      </c>
      <c r="AB1519" s="1">
        <v>34</v>
      </c>
    </row>
    <row r="1520" spans="1:28" x14ac:dyDescent="0.15">
      <c r="A1520" s="1">
        <v>3999</v>
      </c>
      <c r="B1520" s="1" t="s">
        <v>7159</v>
      </c>
      <c r="L1520" s="1" t="s">
        <v>1969</v>
      </c>
      <c r="N1520" s="1" t="s">
        <v>1631</v>
      </c>
      <c r="P1520" s="1" t="s">
        <v>548</v>
      </c>
      <c r="Q1520" s="3">
        <v>0</v>
      </c>
      <c r="S1520" s="23" t="s">
        <v>5949</v>
      </c>
      <c r="T1520" s="23" t="s">
        <v>4931</v>
      </c>
      <c r="U1520" s="3">
        <v>34</v>
      </c>
      <c r="W1520" s="45" t="str">
        <f>HYPERLINK("http://ictvonline.org/taxonomy/p/taxonomy-history?taxnode_id=201853780","ICTVonline=201853780")</f>
        <v>ICTVonline=201853780</v>
      </c>
      <c r="AA1520" s="1">
        <v>201850000</v>
      </c>
      <c r="AB1520" s="1">
        <v>34</v>
      </c>
    </row>
    <row r="1521" spans="1:28" x14ac:dyDescent="0.15">
      <c r="A1521" s="1">
        <v>4001</v>
      </c>
      <c r="B1521" s="1" t="s">
        <v>7159</v>
      </c>
      <c r="L1521" s="1" t="s">
        <v>1969</v>
      </c>
      <c r="N1521" s="1" t="s">
        <v>1631</v>
      </c>
      <c r="P1521" s="1" t="s">
        <v>2469</v>
      </c>
      <c r="Q1521" s="3">
        <v>0</v>
      </c>
      <c r="S1521" s="23" t="s">
        <v>5949</v>
      </c>
      <c r="T1521" s="23" t="s">
        <v>4931</v>
      </c>
      <c r="U1521" s="3">
        <v>34</v>
      </c>
      <c r="W1521" s="45" t="str">
        <f>HYPERLINK("http://ictvonline.org/taxonomy/p/taxonomy-history?taxnode_id=201853781","ICTVonline=201853781")</f>
        <v>ICTVonline=201853781</v>
      </c>
      <c r="AA1521" s="1">
        <v>201850000</v>
      </c>
      <c r="AB1521" s="1">
        <v>34</v>
      </c>
    </row>
    <row r="1522" spans="1:28" x14ac:dyDescent="0.15">
      <c r="A1522" s="1">
        <v>4003</v>
      </c>
      <c r="B1522" s="1" t="s">
        <v>7159</v>
      </c>
      <c r="L1522" s="1" t="s">
        <v>1969</v>
      </c>
      <c r="N1522" s="1" t="s">
        <v>1631</v>
      </c>
      <c r="P1522" s="1" t="s">
        <v>1635</v>
      </c>
      <c r="Q1522" s="3">
        <v>0</v>
      </c>
      <c r="S1522" s="23" t="s">
        <v>5949</v>
      </c>
      <c r="T1522" s="23" t="s">
        <v>4931</v>
      </c>
      <c r="U1522" s="3">
        <v>34</v>
      </c>
      <c r="W1522" s="45" t="str">
        <f>HYPERLINK("http://ictvonline.org/taxonomy/p/taxonomy-history?taxnode_id=201853782","ICTVonline=201853782")</f>
        <v>ICTVonline=201853782</v>
      </c>
      <c r="AA1522" s="1">
        <v>201850000</v>
      </c>
      <c r="AB1522" s="1">
        <v>34</v>
      </c>
    </row>
    <row r="1523" spans="1:28" x14ac:dyDescent="0.15">
      <c r="A1523" s="1">
        <v>4005</v>
      </c>
      <c r="B1523" s="1" t="s">
        <v>7159</v>
      </c>
      <c r="L1523" s="1" t="s">
        <v>1969</v>
      </c>
      <c r="N1523" s="1" t="s">
        <v>1631</v>
      </c>
      <c r="P1523" s="1" t="s">
        <v>5457</v>
      </c>
      <c r="Q1523" s="3">
        <v>0</v>
      </c>
      <c r="S1523" s="23" t="s">
        <v>5949</v>
      </c>
      <c r="T1523" s="23" t="s">
        <v>4931</v>
      </c>
      <c r="U1523" s="3">
        <v>34</v>
      </c>
      <c r="W1523" s="45" t="str">
        <f>HYPERLINK("http://ictvonline.org/taxonomy/p/taxonomy-history?taxnode_id=201853783","ICTVonline=201853783")</f>
        <v>ICTVonline=201853783</v>
      </c>
      <c r="AA1523" s="1">
        <v>201850000</v>
      </c>
      <c r="AB1523" s="1">
        <v>34</v>
      </c>
    </row>
    <row r="1524" spans="1:28" x14ac:dyDescent="0.15">
      <c r="A1524" s="1">
        <v>4007</v>
      </c>
      <c r="B1524" s="1" t="s">
        <v>7159</v>
      </c>
      <c r="L1524" s="1" t="s">
        <v>1969</v>
      </c>
      <c r="N1524" s="1" t="s">
        <v>1631</v>
      </c>
      <c r="P1524" s="1" t="s">
        <v>5458</v>
      </c>
      <c r="Q1524" s="3">
        <v>0</v>
      </c>
      <c r="S1524" s="23" t="s">
        <v>5949</v>
      </c>
      <c r="T1524" s="23" t="s">
        <v>4931</v>
      </c>
      <c r="U1524" s="3">
        <v>34</v>
      </c>
      <c r="W1524" s="45" t="str">
        <f>HYPERLINK("http://ictvonline.org/taxonomy/p/taxonomy-history?taxnode_id=201855862","ICTVonline=201855862")</f>
        <v>ICTVonline=201855862</v>
      </c>
      <c r="AA1524" s="1">
        <v>201850000</v>
      </c>
      <c r="AB1524" s="1">
        <v>34</v>
      </c>
    </row>
    <row r="1525" spans="1:28" x14ac:dyDescent="0.15">
      <c r="A1525" s="1">
        <v>4009</v>
      </c>
      <c r="B1525" s="1" t="s">
        <v>7159</v>
      </c>
      <c r="L1525" s="1" t="s">
        <v>1969</v>
      </c>
      <c r="N1525" s="1" t="s">
        <v>1631</v>
      </c>
      <c r="P1525" s="1" t="s">
        <v>549</v>
      </c>
      <c r="Q1525" s="3">
        <v>0</v>
      </c>
      <c r="S1525" s="23" t="s">
        <v>5949</v>
      </c>
      <c r="T1525" s="23" t="s">
        <v>4931</v>
      </c>
      <c r="U1525" s="3">
        <v>34</v>
      </c>
      <c r="W1525" s="45" t="str">
        <f>HYPERLINK("http://ictvonline.org/taxonomy/p/taxonomy-history?taxnode_id=201853784","ICTVonline=201853784")</f>
        <v>ICTVonline=201853784</v>
      </c>
      <c r="AA1525" s="1">
        <v>201850000</v>
      </c>
      <c r="AB1525" s="1">
        <v>34</v>
      </c>
    </row>
    <row r="1526" spans="1:28" x14ac:dyDescent="0.15">
      <c r="A1526" s="1">
        <v>4011</v>
      </c>
      <c r="B1526" s="1" t="s">
        <v>7159</v>
      </c>
      <c r="L1526" s="1" t="s">
        <v>1969</v>
      </c>
      <c r="N1526" s="1" t="s">
        <v>1631</v>
      </c>
      <c r="P1526" s="1" t="s">
        <v>5459</v>
      </c>
      <c r="Q1526" s="3">
        <v>0</v>
      </c>
      <c r="S1526" s="23" t="s">
        <v>5949</v>
      </c>
      <c r="T1526" s="23" t="s">
        <v>4931</v>
      </c>
      <c r="U1526" s="3">
        <v>34</v>
      </c>
      <c r="W1526" s="45" t="str">
        <f>HYPERLINK("http://ictvonline.org/taxonomy/p/taxonomy-history?taxnode_id=201855863","ICTVonline=201855863")</f>
        <v>ICTVonline=201855863</v>
      </c>
      <c r="AA1526" s="1">
        <v>201850000</v>
      </c>
      <c r="AB1526" s="1">
        <v>34</v>
      </c>
    </row>
    <row r="1527" spans="1:28" x14ac:dyDescent="0.15">
      <c r="A1527" s="1">
        <v>4013</v>
      </c>
      <c r="B1527" s="1" t="s">
        <v>7159</v>
      </c>
      <c r="L1527" s="1" t="s">
        <v>1969</v>
      </c>
      <c r="N1527" s="1" t="s">
        <v>1631</v>
      </c>
      <c r="P1527" s="1" t="s">
        <v>7106</v>
      </c>
      <c r="Q1527" s="3">
        <v>0</v>
      </c>
      <c r="S1527" s="23" t="s">
        <v>5949</v>
      </c>
      <c r="W1527" s="45" t="str">
        <f>HYPERLINK("http://ictvonline.org/taxonomy/p/taxonomy-history?taxnode_id=201853785","ICTVonline=201853785")</f>
        <v>ICTVonline=201853785</v>
      </c>
      <c r="AA1527" s="1">
        <v>201850000</v>
      </c>
      <c r="AB1527" s="1">
        <v>34</v>
      </c>
    </row>
    <row r="1528" spans="1:28" x14ac:dyDescent="0.15">
      <c r="A1528" s="1">
        <v>4015</v>
      </c>
      <c r="B1528" s="1" t="s">
        <v>7159</v>
      </c>
      <c r="L1528" s="1" t="s">
        <v>1969</v>
      </c>
      <c r="N1528" s="1" t="s">
        <v>1631</v>
      </c>
      <c r="P1528" s="1" t="s">
        <v>7108</v>
      </c>
      <c r="Q1528" s="3">
        <v>0</v>
      </c>
      <c r="S1528" s="23" t="s">
        <v>5949</v>
      </c>
      <c r="T1528" s="23" t="s">
        <v>4929</v>
      </c>
      <c r="U1528" s="3">
        <v>34</v>
      </c>
      <c r="V1528" s="3" t="s">
        <v>7107</v>
      </c>
      <c r="W1528" s="45" t="str">
        <f>HYPERLINK("http://ictvonline.org/taxonomy/p/taxonomy-history?taxnode_id=201856621","ICTVonline=201856621")</f>
        <v>ICTVonline=201856621</v>
      </c>
      <c r="AA1528" s="1">
        <v>201850000</v>
      </c>
      <c r="AB1528" s="1">
        <v>34</v>
      </c>
    </row>
    <row r="1529" spans="1:28" x14ac:dyDescent="0.15">
      <c r="A1529" s="1">
        <v>4017</v>
      </c>
      <c r="B1529" s="1" t="s">
        <v>7159</v>
      </c>
      <c r="L1529" s="1" t="s">
        <v>1969</v>
      </c>
      <c r="N1529" s="1" t="s">
        <v>1631</v>
      </c>
      <c r="P1529" s="1" t="s">
        <v>7109</v>
      </c>
      <c r="Q1529" s="3">
        <v>0</v>
      </c>
      <c r="S1529" s="23" t="s">
        <v>5949</v>
      </c>
      <c r="T1529" s="23" t="s">
        <v>4929</v>
      </c>
      <c r="U1529" s="3">
        <v>34</v>
      </c>
      <c r="V1529" s="3" t="s">
        <v>7107</v>
      </c>
      <c r="W1529" s="45" t="str">
        <f>HYPERLINK("http://ictvonline.org/taxonomy/p/taxonomy-history?taxnode_id=201856622","ICTVonline=201856622")</f>
        <v>ICTVonline=201856622</v>
      </c>
      <c r="AA1529" s="1">
        <v>201850000</v>
      </c>
      <c r="AB1529" s="1">
        <v>34</v>
      </c>
    </row>
    <row r="1530" spans="1:28" x14ac:dyDescent="0.15">
      <c r="A1530" s="1">
        <v>4019</v>
      </c>
      <c r="B1530" s="1" t="s">
        <v>7159</v>
      </c>
      <c r="L1530" s="1" t="s">
        <v>1969</v>
      </c>
      <c r="N1530" s="1" t="s">
        <v>1631</v>
      </c>
      <c r="P1530" s="1" t="s">
        <v>7110</v>
      </c>
      <c r="Q1530" s="3">
        <v>0</v>
      </c>
      <c r="S1530" s="23" t="s">
        <v>5949</v>
      </c>
      <c r="T1530" s="23" t="s">
        <v>4929</v>
      </c>
      <c r="U1530" s="3">
        <v>34</v>
      </c>
      <c r="V1530" s="3" t="s">
        <v>7107</v>
      </c>
      <c r="W1530" s="45" t="str">
        <f>HYPERLINK("http://ictvonline.org/taxonomy/p/taxonomy-history?taxnode_id=201856623","ICTVonline=201856623")</f>
        <v>ICTVonline=201856623</v>
      </c>
      <c r="AA1530" s="1">
        <v>201850000</v>
      </c>
      <c r="AB1530" s="1">
        <v>34</v>
      </c>
    </row>
    <row r="1531" spans="1:28" x14ac:dyDescent="0.15">
      <c r="A1531" s="1">
        <v>4021</v>
      </c>
      <c r="B1531" s="1" t="s">
        <v>7159</v>
      </c>
      <c r="L1531" s="1" t="s">
        <v>1969</v>
      </c>
      <c r="N1531" s="1" t="s">
        <v>1631</v>
      </c>
      <c r="P1531" s="1" t="s">
        <v>7111</v>
      </c>
      <c r="Q1531" s="3">
        <v>0</v>
      </c>
      <c r="S1531" s="23" t="s">
        <v>5949</v>
      </c>
      <c r="T1531" s="23" t="s">
        <v>4929</v>
      </c>
      <c r="U1531" s="3">
        <v>34</v>
      </c>
      <c r="V1531" s="3" t="s">
        <v>7107</v>
      </c>
      <c r="W1531" s="45" t="str">
        <f>HYPERLINK("http://ictvonline.org/taxonomy/p/taxonomy-history?taxnode_id=201856624","ICTVonline=201856624")</f>
        <v>ICTVonline=201856624</v>
      </c>
      <c r="AA1531" s="1">
        <v>201850000</v>
      </c>
      <c r="AB1531" s="1">
        <v>34</v>
      </c>
    </row>
    <row r="1532" spans="1:28" x14ac:dyDescent="0.15">
      <c r="A1532" s="1">
        <v>4023</v>
      </c>
      <c r="B1532" s="1" t="s">
        <v>7159</v>
      </c>
      <c r="L1532" s="1" t="s">
        <v>1969</v>
      </c>
      <c r="N1532" s="1" t="s">
        <v>1631</v>
      </c>
      <c r="P1532" s="1" t="s">
        <v>7112</v>
      </c>
      <c r="Q1532" s="3">
        <v>0</v>
      </c>
      <c r="S1532" s="23" t="s">
        <v>5949</v>
      </c>
      <c r="T1532" s="23" t="s">
        <v>4929</v>
      </c>
      <c r="U1532" s="3">
        <v>34</v>
      </c>
      <c r="V1532" s="3" t="s">
        <v>7107</v>
      </c>
      <c r="W1532" s="45" t="str">
        <f>HYPERLINK("http://ictvonline.org/taxonomy/p/taxonomy-history?taxnode_id=201856625","ICTVonline=201856625")</f>
        <v>ICTVonline=201856625</v>
      </c>
      <c r="AA1532" s="1">
        <v>201850000</v>
      </c>
      <c r="AB1532" s="1">
        <v>34</v>
      </c>
    </row>
    <row r="1533" spans="1:28" x14ac:dyDescent="0.15">
      <c r="A1533" s="1">
        <v>4025</v>
      </c>
      <c r="B1533" s="1" t="s">
        <v>7159</v>
      </c>
      <c r="L1533" s="1" t="s">
        <v>1969</v>
      </c>
      <c r="N1533" s="1" t="s">
        <v>1631</v>
      </c>
      <c r="P1533" s="1" t="s">
        <v>1636</v>
      </c>
      <c r="Q1533" s="3">
        <v>1</v>
      </c>
      <c r="S1533" s="23" t="s">
        <v>5949</v>
      </c>
      <c r="T1533" s="23" t="s">
        <v>4931</v>
      </c>
      <c r="U1533" s="3">
        <v>34</v>
      </c>
      <c r="W1533" s="45" t="str">
        <f>HYPERLINK("http://ictvonline.org/taxonomy/p/taxonomy-history?taxnode_id=201853786","ICTVonline=201853786")</f>
        <v>ICTVonline=201853786</v>
      </c>
      <c r="AA1533" s="1">
        <v>201850000</v>
      </c>
      <c r="AB1533" s="1">
        <v>34</v>
      </c>
    </row>
    <row r="1534" spans="1:28" x14ac:dyDescent="0.15">
      <c r="A1534" s="1">
        <v>4027</v>
      </c>
      <c r="B1534" s="1" t="s">
        <v>7159</v>
      </c>
      <c r="L1534" s="1" t="s">
        <v>1969</v>
      </c>
      <c r="N1534" s="1" t="s">
        <v>1631</v>
      </c>
      <c r="P1534" s="1" t="s">
        <v>2470</v>
      </c>
      <c r="Q1534" s="3">
        <v>0</v>
      </c>
      <c r="S1534" s="23" t="s">
        <v>5949</v>
      </c>
      <c r="T1534" s="23" t="s">
        <v>4931</v>
      </c>
      <c r="U1534" s="3">
        <v>34</v>
      </c>
      <c r="W1534" s="45" t="str">
        <f>HYPERLINK("http://ictvonline.org/taxonomy/p/taxonomy-history?taxnode_id=201853787","ICTVonline=201853787")</f>
        <v>ICTVonline=201853787</v>
      </c>
      <c r="AA1534" s="1">
        <v>201850000</v>
      </c>
      <c r="AB1534" s="1">
        <v>34</v>
      </c>
    </row>
    <row r="1535" spans="1:28" x14ac:dyDescent="0.15">
      <c r="A1535" s="1">
        <v>4029</v>
      </c>
      <c r="B1535" s="1" t="s">
        <v>7159</v>
      </c>
      <c r="L1535" s="1" t="s">
        <v>1969</v>
      </c>
      <c r="N1535" s="1" t="s">
        <v>1631</v>
      </c>
      <c r="P1535" s="1" t="s">
        <v>1637</v>
      </c>
      <c r="Q1535" s="3">
        <v>0</v>
      </c>
      <c r="S1535" s="23" t="s">
        <v>5949</v>
      </c>
      <c r="T1535" s="23" t="s">
        <v>4931</v>
      </c>
      <c r="U1535" s="3">
        <v>34</v>
      </c>
      <c r="W1535" s="45" t="str">
        <f>HYPERLINK("http://ictvonline.org/taxonomy/p/taxonomy-history?taxnode_id=201853788","ICTVonline=201853788")</f>
        <v>ICTVonline=201853788</v>
      </c>
      <c r="AA1535" s="1">
        <v>201850000</v>
      </c>
      <c r="AB1535" s="1">
        <v>34</v>
      </c>
    </row>
    <row r="1536" spans="1:28" x14ac:dyDescent="0.15">
      <c r="A1536" s="1">
        <v>4031</v>
      </c>
      <c r="B1536" s="1" t="s">
        <v>7159</v>
      </c>
      <c r="L1536" s="1" t="s">
        <v>1969</v>
      </c>
      <c r="N1536" s="1" t="s">
        <v>1631</v>
      </c>
      <c r="P1536" s="1" t="s">
        <v>1640</v>
      </c>
      <c r="Q1536" s="3">
        <v>0</v>
      </c>
      <c r="S1536" s="23" t="s">
        <v>5949</v>
      </c>
      <c r="T1536" s="23" t="s">
        <v>4931</v>
      </c>
      <c r="U1536" s="3">
        <v>34</v>
      </c>
      <c r="W1536" s="45" t="str">
        <f>HYPERLINK("http://ictvonline.org/taxonomy/p/taxonomy-history?taxnode_id=201853789","ICTVonline=201853789")</f>
        <v>ICTVonline=201853789</v>
      </c>
      <c r="AA1536" s="1">
        <v>201850000</v>
      </c>
      <c r="AB1536" s="1">
        <v>34</v>
      </c>
    </row>
    <row r="1537" spans="1:28" x14ac:dyDescent="0.15">
      <c r="A1537" s="1">
        <v>4033</v>
      </c>
      <c r="B1537" s="1" t="s">
        <v>7159</v>
      </c>
      <c r="L1537" s="1" t="s">
        <v>1969</v>
      </c>
      <c r="N1537" s="1" t="s">
        <v>1631</v>
      </c>
      <c r="P1537" s="1" t="s">
        <v>1638</v>
      </c>
      <c r="Q1537" s="3">
        <v>0</v>
      </c>
      <c r="S1537" s="23" t="s">
        <v>5949</v>
      </c>
      <c r="T1537" s="23" t="s">
        <v>4931</v>
      </c>
      <c r="U1537" s="3">
        <v>34</v>
      </c>
      <c r="W1537" s="45" t="str">
        <f>HYPERLINK("http://ictvonline.org/taxonomy/p/taxonomy-history?taxnode_id=201853790","ICTVonline=201853790")</f>
        <v>ICTVonline=201853790</v>
      </c>
      <c r="AA1537" s="1">
        <v>201850000</v>
      </c>
      <c r="AB1537" s="1">
        <v>34</v>
      </c>
    </row>
    <row r="1538" spans="1:28" x14ac:dyDescent="0.15">
      <c r="A1538" s="1">
        <v>4036</v>
      </c>
      <c r="B1538" s="1" t="s">
        <v>7159</v>
      </c>
      <c r="L1538" s="1" t="s">
        <v>1969</v>
      </c>
      <c r="P1538" s="1" t="s">
        <v>5460</v>
      </c>
      <c r="Q1538" s="3">
        <v>0</v>
      </c>
      <c r="S1538" s="23" t="s">
        <v>5949</v>
      </c>
      <c r="T1538" s="23" t="s">
        <v>4931</v>
      </c>
      <c r="U1538" s="3">
        <v>34</v>
      </c>
      <c r="W1538" s="45" t="str">
        <f>HYPERLINK("http://ictvonline.org/taxonomy/p/taxonomy-history?taxnode_id=201853792","ICTVonline=201853792")</f>
        <v>ICTVonline=201853792</v>
      </c>
      <c r="AA1538" s="1">
        <v>201850000</v>
      </c>
      <c r="AB1538" s="1">
        <v>34</v>
      </c>
    </row>
    <row r="1539" spans="1:28" x14ac:dyDescent="0.15">
      <c r="A1539" s="1">
        <v>4038</v>
      </c>
      <c r="B1539" s="1" t="s">
        <v>7159</v>
      </c>
      <c r="L1539" s="1" t="s">
        <v>1969</v>
      </c>
      <c r="P1539" s="1" t="s">
        <v>5461</v>
      </c>
      <c r="Q1539" s="3">
        <v>0</v>
      </c>
      <c r="S1539" s="23" t="s">
        <v>5949</v>
      </c>
      <c r="T1539" s="23" t="s">
        <v>4931</v>
      </c>
      <c r="U1539" s="3">
        <v>34</v>
      </c>
      <c r="W1539" s="45" t="str">
        <f>HYPERLINK("http://ictvonline.org/taxonomy/p/taxonomy-history?taxnode_id=201853793","ICTVonline=201853793")</f>
        <v>ICTVonline=201853793</v>
      </c>
      <c r="AA1539" s="1">
        <v>201850000</v>
      </c>
      <c r="AB1539" s="1">
        <v>34</v>
      </c>
    </row>
    <row r="1540" spans="1:28" x14ac:dyDescent="0.15">
      <c r="A1540" s="1">
        <v>4040</v>
      </c>
      <c r="B1540" s="1" t="s">
        <v>7159</v>
      </c>
      <c r="L1540" s="1" t="s">
        <v>1969</v>
      </c>
      <c r="P1540" s="1" t="s">
        <v>1128</v>
      </c>
      <c r="Q1540" s="3">
        <v>0</v>
      </c>
      <c r="S1540" s="23" t="s">
        <v>5949</v>
      </c>
      <c r="T1540" s="23" t="s">
        <v>4931</v>
      </c>
      <c r="U1540" s="3">
        <v>34</v>
      </c>
      <c r="W1540" s="45" t="str">
        <f>HYPERLINK("http://ictvonline.org/taxonomy/p/taxonomy-history?taxnode_id=201853794","ICTVonline=201853794")</f>
        <v>ICTVonline=201853794</v>
      </c>
      <c r="AA1540" s="1">
        <v>201850000</v>
      </c>
      <c r="AB1540" s="1">
        <v>34</v>
      </c>
    </row>
    <row r="1541" spans="1:28" x14ac:dyDescent="0.15">
      <c r="A1541" s="1">
        <v>4042</v>
      </c>
      <c r="B1541" s="1" t="s">
        <v>7159</v>
      </c>
      <c r="L1541" s="1" t="s">
        <v>1969</v>
      </c>
      <c r="P1541" s="1" t="s">
        <v>1976</v>
      </c>
      <c r="Q1541" s="3">
        <v>0</v>
      </c>
      <c r="S1541" s="23" t="s">
        <v>5949</v>
      </c>
      <c r="T1541" s="23" t="s">
        <v>4931</v>
      </c>
      <c r="U1541" s="3">
        <v>34</v>
      </c>
      <c r="W1541" s="45" t="str">
        <f>HYPERLINK("http://ictvonline.org/taxonomy/p/taxonomy-history?taxnode_id=201853795","ICTVonline=201853795")</f>
        <v>ICTVonline=201853795</v>
      </c>
      <c r="AA1541" s="1">
        <v>201850000</v>
      </c>
      <c r="AB1541" s="1">
        <v>34</v>
      </c>
    </row>
    <row r="1542" spans="1:28" x14ac:dyDescent="0.15">
      <c r="A1542" s="1">
        <v>4044</v>
      </c>
      <c r="B1542" s="1" t="s">
        <v>7159</v>
      </c>
      <c r="L1542" s="1" t="s">
        <v>1969</v>
      </c>
      <c r="P1542" s="1" t="s">
        <v>1977</v>
      </c>
      <c r="Q1542" s="3">
        <v>0</v>
      </c>
      <c r="S1542" s="23" t="s">
        <v>5949</v>
      </c>
      <c r="T1542" s="23" t="s">
        <v>4931</v>
      </c>
      <c r="U1542" s="3">
        <v>34</v>
      </c>
      <c r="W1542" s="45" t="str">
        <f>HYPERLINK("http://ictvonline.org/taxonomy/p/taxonomy-history?taxnode_id=201853796","ICTVonline=201853796")</f>
        <v>ICTVonline=201853796</v>
      </c>
      <c r="AA1542" s="1">
        <v>201850000</v>
      </c>
      <c r="AB1542" s="1">
        <v>34</v>
      </c>
    </row>
    <row r="1543" spans="1:28" x14ac:dyDescent="0.15">
      <c r="A1543" s="1">
        <v>4046</v>
      </c>
      <c r="B1543" s="1" t="s">
        <v>7159</v>
      </c>
      <c r="L1543" s="1" t="s">
        <v>1969</v>
      </c>
      <c r="P1543" s="1" t="s">
        <v>1978</v>
      </c>
      <c r="Q1543" s="3">
        <v>0</v>
      </c>
      <c r="S1543" s="23" t="s">
        <v>5949</v>
      </c>
      <c r="T1543" s="23" t="s">
        <v>4931</v>
      </c>
      <c r="U1543" s="3">
        <v>34</v>
      </c>
      <c r="W1543" s="45" t="str">
        <f>HYPERLINK("http://ictvonline.org/taxonomy/p/taxonomy-history?taxnode_id=201853797","ICTVonline=201853797")</f>
        <v>ICTVonline=201853797</v>
      </c>
      <c r="AA1543" s="1">
        <v>201850000</v>
      </c>
      <c r="AB1543" s="1">
        <v>34</v>
      </c>
    </row>
    <row r="1544" spans="1:28" x14ac:dyDescent="0.15">
      <c r="A1544" s="1">
        <v>4048</v>
      </c>
      <c r="B1544" s="1" t="s">
        <v>7159</v>
      </c>
      <c r="L1544" s="1" t="s">
        <v>1969</v>
      </c>
      <c r="P1544" s="1" t="s">
        <v>1979</v>
      </c>
      <c r="Q1544" s="3">
        <v>0</v>
      </c>
      <c r="S1544" s="23" t="s">
        <v>5949</v>
      </c>
      <c r="T1544" s="23" t="s">
        <v>4931</v>
      </c>
      <c r="U1544" s="3">
        <v>34</v>
      </c>
      <c r="W1544" s="45" t="str">
        <f>HYPERLINK("http://ictvonline.org/taxonomy/p/taxonomy-history?taxnode_id=201853798","ICTVonline=201853798")</f>
        <v>ICTVonline=201853798</v>
      </c>
      <c r="AA1544" s="1">
        <v>201850000</v>
      </c>
      <c r="AB1544" s="1">
        <v>34</v>
      </c>
    </row>
    <row r="1545" spans="1:28" x14ac:dyDescent="0.15">
      <c r="A1545" s="1">
        <v>4053</v>
      </c>
      <c r="B1545" s="1" t="s">
        <v>7159</v>
      </c>
      <c r="L1545" s="1" t="s">
        <v>101</v>
      </c>
      <c r="N1545" s="1" t="s">
        <v>102</v>
      </c>
      <c r="P1545" s="1" t="s">
        <v>103</v>
      </c>
      <c r="Q1545" s="3">
        <v>1</v>
      </c>
      <c r="S1545" s="23" t="s">
        <v>5949</v>
      </c>
      <c r="T1545" s="23" t="s">
        <v>4931</v>
      </c>
      <c r="U1545" s="3">
        <v>34</v>
      </c>
      <c r="W1545" s="45" t="str">
        <f>HYPERLINK("http://ictvonline.org/taxonomy/p/taxonomy-history?taxnode_id=201853810","ICTVonline=201853810")</f>
        <v>ICTVonline=201853810</v>
      </c>
      <c r="AA1545" s="1">
        <v>201850000</v>
      </c>
      <c r="AB1545" s="1">
        <v>34</v>
      </c>
    </row>
    <row r="1546" spans="1:28" x14ac:dyDescent="0.15">
      <c r="A1546" s="1">
        <v>4059</v>
      </c>
      <c r="B1546" s="1" t="s">
        <v>7159</v>
      </c>
      <c r="L1546" s="1" t="s">
        <v>1089</v>
      </c>
      <c r="N1546" s="1" t="s">
        <v>1090</v>
      </c>
      <c r="P1546" s="1" t="s">
        <v>1016</v>
      </c>
      <c r="Q1546" s="3">
        <v>1</v>
      </c>
      <c r="S1546" s="23" t="s">
        <v>5949</v>
      </c>
      <c r="T1546" s="23" t="s">
        <v>4931</v>
      </c>
      <c r="U1546" s="3">
        <v>34</v>
      </c>
      <c r="W1546" s="45" t="str">
        <f>HYPERLINK("http://ictvonline.org/taxonomy/p/taxonomy-history?taxnode_id=201853911","ICTVonline=201853911")</f>
        <v>ICTVonline=201853911</v>
      </c>
      <c r="AA1546" s="1">
        <v>201850000</v>
      </c>
      <c r="AB1546" s="1">
        <v>34</v>
      </c>
    </row>
    <row r="1547" spans="1:28" x14ac:dyDescent="0.15">
      <c r="A1547" s="1">
        <v>4061</v>
      </c>
      <c r="B1547" s="1" t="s">
        <v>7159</v>
      </c>
      <c r="L1547" s="1" t="s">
        <v>1089</v>
      </c>
      <c r="N1547" s="1" t="s">
        <v>1090</v>
      </c>
      <c r="P1547" s="1" t="s">
        <v>1018</v>
      </c>
      <c r="Q1547" s="3">
        <v>0</v>
      </c>
      <c r="S1547" s="23" t="s">
        <v>5949</v>
      </c>
      <c r="T1547" s="23" t="s">
        <v>4931</v>
      </c>
      <c r="U1547" s="3">
        <v>34</v>
      </c>
      <c r="W1547" s="45" t="str">
        <f>HYPERLINK("http://ictvonline.org/taxonomy/p/taxonomy-history?taxnode_id=201853912","ICTVonline=201853912")</f>
        <v>ICTVonline=201853912</v>
      </c>
      <c r="AA1547" s="1">
        <v>201850000</v>
      </c>
      <c r="AB1547" s="1">
        <v>34</v>
      </c>
    </row>
    <row r="1548" spans="1:28" x14ac:dyDescent="0.15">
      <c r="A1548" s="1">
        <v>4063</v>
      </c>
      <c r="B1548" s="1" t="s">
        <v>7159</v>
      </c>
      <c r="L1548" s="1" t="s">
        <v>1089</v>
      </c>
      <c r="N1548" s="1" t="s">
        <v>1090</v>
      </c>
      <c r="P1548" s="1" t="s">
        <v>1019</v>
      </c>
      <c r="Q1548" s="3">
        <v>0</v>
      </c>
      <c r="S1548" s="23" t="s">
        <v>5949</v>
      </c>
      <c r="T1548" s="23" t="s">
        <v>4931</v>
      </c>
      <c r="U1548" s="3">
        <v>34</v>
      </c>
      <c r="W1548" s="45" t="str">
        <f>HYPERLINK("http://ictvonline.org/taxonomy/p/taxonomy-history?taxnode_id=201853913","ICTVonline=201853913")</f>
        <v>ICTVonline=201853913</v>
      </c>
      <c r="AA1548" s="1">
        <v>201850000</v>
      </c>
      <c r="AB1548" s="1">
        <v>34</v>
      </c>
    </row>
    <row r="1549" spans="1:28" x14ac:dyDescent="0.15">
      <c r="A1549" s="1">
        <v>4065</v>
      </c>
      <c r="B1549" s="1" t="s">
        <v>7159</v>
      </c>
      <c r="L1549" s="1" t="s">
        <v>1089</v>
      </c>
      <c r="N1549" s="1" t="s">
        <v>1090</v>
      </c>
      <c r="P1549" s="1" t="s">
        <v>1020</v>
      </c>
      <c r="Q1549" s="3">
        <v>0</v>
      </c>
      <c r="S1549" s="23" t="s">
        <v>5949</v>
      </c>
      <c r="T1549" s="23" t="s">
        <v>4931</v>
      </c>
      <c r="U1549" s="3">
        <v>34</v>
      </c>
      <c r="W1549" s="45" t="str">
        <f>HYPERLINK("http://ictvonline.org/taxonomy/p/taxonomy-history?taxnode_id=201853914","ICTVonline=201853914")</f>
        <v>ICTVonline=201853914</v>
      </c>
      <c r="AA1549" s="1">
        <v>201850000</v>
      </c>
      <c r="AB1549" s="1">
        <v>34</v>
      </c>
    </row>
    <row r="1550" spans="1:28" x14ac:dyDescent="0.15">
      <c r="A1550" s="1">
        <v>4067</v>
      </c>
      <c r="B1550" s="1" t="s">
        <v>7159</v>
      </c>
      <c r="L1550" s="1" t="s">
        <v>1089</v>
      </c>
      <c r="N1550" s="1" t="s">
        <v>1090</v>
      </c>
      <c r="P1550" s="1" t="s">
        <v>1017</v>
      </c>
      <c r="Q1550" s="3">
        <v>0</v>
      </c>
      <c r="S1550" s="23" t="s">
        <v>5949</v>
      </c>
      <c r="T1550" s="23" t="s">
        <v>4931</v>
      </c>
      <c r="U1550" s="3">
        <v>34</v>
      </c>
      <c r="W1550" s="45" t="str">
        <f>HYPERLINK("http://ictvonline.org/taxonomy/p/taxonomy-history?taxnode_id=201853915","ICTVonline=201853915")</f>
        <v>ICTVonline=201853915</v>
      </c>
      <c r="AA1550" s="1">
        <v>201850000</v>
      </c>
      <c r="AB1550" s="1">
        <v>34</v>
      </c>
    </row>
    <row r="1551" spans="1:28" x14ac:dyDescent="0.15">
      <c r="A1551" s="1">
        <v>4071</v>
      </c>
      <c r="B1551" s="1" t="s">
        <v>7159</v>
      </c>
      <c r="L1551" s="1" t="s">
        <v>1089</v>
      </c>
      <c r="N1551" s="1" t="s">
        <v>1021</v>
      </c>
      <c r="P1551" s="1" t="s">
        <v>1022</v>
      </c>
      <c r="Q1551" s="3">
        <v>1</v>
      </c>
      <c r="S1551" s="23" t="s">
        <v>5949</v>
      </c>
      <c r="T1551" s="23" t="s">
        <v>4931</v>
      </c>
      <c r="U1551" s="3">
        <v>34</v>
      </c>
      <c r="W1551" s="45" t="str">
        <f>HYPERLINK("http://ictvonline.org/taxonomy/p/taxonomy-history?taxnode_id=201853917","ICTVonline=201853917")</f>
        <v>ICTVonline=201853917</v>
      </c>
      <c r="AA1551" s="1">
        <v>201850000</v>
      </c>
      <c r="AB1551" s="1">
        <v>34</v>
      </c>
    </row>
    <row r="1552" spans="1:28" x14ac:dyDescent="0.15">
      <c r="A1552" s="1">
        <v>4073</v>
      </c>
      <c r="B1552" s="1" t="s">
        <v>7159</v>
      </c>
      <c r="L1552" s="1" t="s">
        <v>1089</v>
      </c>
      <c r="N1552" s="1" t="s">
        <v>1021</v>
      </c>
      <c r="P1552" s="1" t="s">
        <v>1091</v>
      </c>
      <c r="Q1552" s="3">
        <v>0</v>
      </c>
      <c r="S1552" s="23" t="s">
        <v>5949</v>
      </c>
      <c r="T1552" s="23" t="s">
        <v>4931</v>
      </c>
      <c r="U1552" s="3">
        <v>34</v>
      </c>
      <c r="W1552" s="45" t="str">
        <f>HYPERLINK("http://ictvonline.org/taxonomy/p/taxonomy-history?taxnode_id=201853918","ICTVonline=201853918")</f>
        <v>ICTVonline=201853918</v>
      </c>
      <c r="AA1552" s="1">
        <v>201850000</v>
      </c>
      <c r="AB1552" s="1">
        <v>34</v>
      </c>
    </row>
    <row r="1553" spans="1:28" x14ac:dyDescent="0.15">
      <c r="A1553" s="1">
        <v>4079</v>
      </c>
      <c r="B1553" s="1" t="s">
        <v>7159</v>
      </c>
      <c r="L1553" s="1" t="s">
        <v>1095</v>
      </c>
      <c r="N1553" s="1" t="s">
        <v>1096</v>
      </c>
      <c r="P1553" s="1" t="s">
        <v>1097</v>
      </c>
      <c r="Q1553" s="3">
        <v>0</v>
      </c>
      <c r="S1553" s="23" t="s">
        <v>5949</v>
      </c>
      <c r="T1553" s="23" t="s">
        <v>4931</v>
      </c>
      <c r="U1553" s="3">
        <v>34</v>
      </c>
      <c r="W1553" s="45" t="str">
        <f>HYPERLINK("http://ictvonline.org/taxonomy/p/taxonomy-history?taxnode_id=201853926","ICTVonline=201853926")</f>
        <v>ICTVonline=201853926</v>
      </c>
      <c r="AA1553" s="1">
        <v>201850000</v>
      </c>
      <c r="AB1553" s="1">
        <v>34</v>
      </c>
    </row>
    <row r="1554" spans="1:28" x14ac:dyDescent="0.15">
      <c r="A1554" s="1">
        <v>4081</v>
      </c>
      <c r="B1554" s="1" t="s">
        <v>7159</v>
      </c>
      <c r="L1554" s="1" t="s">
        <v>1095</v>
      </c>
      <c r="N1554" s="1" t="s">
        <v>1096</v>
      </c>
      <c r="P1554" s="1" t="s">
        <v>1098</v>
      </c>
      <c r="Q1554" s="3">
        <v>0</v>
      </c>
      <c r="S1554" s="23" t="s">
        <v>5949</v>
      </c>
      <c r="T1554" s="23" t="s">
        <v>4931</v>
      </c>
      <c r="U1554" s="3">
        <v>34</v>
      </c>
      <c r="W1554" s="45" t="str">
        <f>HYPERLINK("http://ictvonline.org/taxonomy/p/taxonomy-history?taxnode_id=201853927","ICTVonline=201853927")</f>
        <v>ICTVonline=201853927</v>
      </c>
      <c r="AA1554" s="1">
        <v>201850000</v>
      </c>
      <c r="AB1554" s="1">
        <v>34</v>
      </c>
    </row>
    <row r="1555" spans="1:28" x14ac:dyDescent="0.15">
      <c r="A1555" s="1">
        <v>4083</v>
      </c>
      <c r="B1555" s="1" t="s">
        <v>7159</v>
      </c>
      <c r="L1555" s="1" t="s">
        <v>1095</v>
      </c>
      <c r="N1555" s="1" t="s">
        <v>1096</v>
      </c>
      <c r="P1555" s="1" t="s">
        <v>1099</v>
      </c>
      <c r="Q1555" s="3">
        <v>0</v>
      </c>
      <c r="S1555" s="23" t="s">
        <v>5949</v>
      </c>
      <c r="T1555" s="23" t="s">
        <v>4931</v>
      </c>
      <c r="U1555" s="3">
        <v>34</v>
      </c>
      <c r="W1555" s="45" t="str">
        <f>HYPERLINK("http://ictvonline.org/taxonomy/p/taxonomy-history?taxnode_id=201853928","ICTVonline=201853928")</f>
        <v>ICTVonline=201853928</v>
      </c>
      <c r="AA1555" s="1">
        <v>201850000</v>
      </c>
      <c r="AB1555" s="1">
        <v>34</v>
      </c>
    </row>
    <row r="1556" spans="1:28" x14ac:dyDescent="0.15">
      <c r="A1556" s="1">
        <v>4085</v>
      </c>
      <c r="B1556" s="1" t="s">
        <v>7159</v>
      </c>
      <c r="L1556" s="1" t="s">
        <v>1095</v>
      </c>
      <c r="N1556" s="1" t="s">
        <v>1096</v>
      </c>
      <c r="P1556" s="1" t="s">
        <v>1100</v>
      </c>
      <c r="Q1556" s="3">
        <v>1</v>
      </c>
      <c r="S1556" s="23" t="s">
        <v>5949</v>
      </c>
      <c r="T1556" s="23" t="s">
        <v>4931</v>
      </c>
      <c r="U1556" s="3">
        <v>34</v>
      </c>
      <c r="W1556" s="45" t="str">
        <f>HYPERLINK("http://ictvonline.org/taxonomy/p/taxonomy-history?taxnode_id=201853929","ICTVonline=201853929")</f>
        <v>ICTVonline=201853929</v>
      </c>
      <c r="AA1556" s="1">
        <v>201850000</v>
      </c>
      <c r="AB1556" s="1">
        <v>34</v>
      </c>
    </row>
    <row r="1557" spans="1:28" x14ac:dyDescent="0.15">
      <c r="A1557" s="1">
        <v>4087</v>
      </c>
      <c r="B1557" s="1" t="s">
        <v>7159</v>
      </c>
      <c r="L1557" s="1" t="s">
        <v>1095</v>
      </c>
      <c r="N1557" s="1" t="s">
        <v>1096</v>
      </c>
      <c r="P1557" s="1" t="s">
        <v>1101</v>
      </c>
      <c r="Q1557" s="3">
        <v>0</v>
      </c>
      <c r="S1557" s="23" t="s">
        <v>5949</v>
      </c>
      <c r="T1557" s="23" t="s">
        <v>4931</v>
      </c>
      <c r="U1557" s="3">
        <v>34</v>
      </c>
      <c r="W1557" s="45" t="str">
        <f>HYPERLINK("http://ictvonline.org/taxonomy/p/taxonomy-history?taxnode_id=201853930","ICTVonline=201853930")</f>
        <v>ICTVonline=201853930</v>
      </c>
      <c r="AA1557" s="1">
        <v>201850000</v>
      </c>
      <c r="AB1557" s="1">
        <v>34</v>
      </c>
    </row>
    <row r="1558" spans="1:28" x14ac:dyDescent="0.15">
      <c r="A1558" s="1">
        <v>4091</v>
      </c>
      <c r="B1558" s="1" t="s">
        <v>7159</v>
      </c>
      <c r="L1558" s="1" t="s">
        <v>1095</v>
      </c>
      <c r="N1558" s="1" t="s">
        <v>1102</v>
      </c>
      <c r="P1558" s="1" t="s">
        <v>1103</v>
      </c>
      <c r="Q1558" s="3">
        <v>0</v>
      </c>
      <c r="S1558" s="23" t="s">
        <v>5949</v>
      </c>
      <c r="T1558" s="23" t="s">
        <v>4931</v>
      </c>
      <c r="U1558" s="3">
        <v>34</v>
      </c>
      <c r="W1558" s="45" t="str">
        <f>HYPERLINK("http://ictvonline.org/taxonomy/p/taxonomy-history?taxnode_id=201853932","ICTVonline=201853932")</f>
        <v>ICTVonline=201853932</v>
      </c>
      <c r="AA1558" s="1">
        <v>201850000</v>
      </c>
      <c r="AB1558" s="1">
        <v>34</v>
      </c>
    </row>
    <row r="1559" spans="1:28" x14ac:dyDescent="0.15">
      <c r="A1559" s="1">
        <v>4093</v>
      </c>
      <c r="B1559" s="1" t="s">
        <v>7159</v>
      </c>
      <c r="L1559" s="1" t="s">
        <v>1095</v>
      </c>
      <c r="N1559" s="1" t="s">
        <v>1102</v>
      </c>
      <c r="P1559" s="1" t="s">
        <v>1619</v>
      </c>
      <c r="Q1559" s="3">
        <v>0</v>
      </c>
      <c r="S1559" s="23" t="s">
        <v>5949</v>
      </c>
      <c r="T1559" s="23" t="s">
        <v>4931</v>
      </c>
      <c r="U1559" s="3">
        <v>34</v>
      </c>
      <c r="W1559" s="45" t="str">
        <f>HYPERLINK("http://ictvonline.org/taxonomy/p/taxonomy-history?taxnode_id=201853933","ICTVonline=201853933")</f>
        <v>ICTVonline=201853933</v>
      </c>
      <c r="AA1559" s="1">
        <v>201850000</v>
      </c>
      <c r="AB1559" s="1">
        <v>34</v>
      </c>
    </row>
    <row r="1560" spans="1:28" x14ac:dyDescent="0.15">
      <c r="A1560" s="1">
        <v>4095</v>
      </c>
      <c r="B1560" s="1" t="s">
        <v>7159</v>
      </c>
      <c r="L1560" s="1" t="s">
        <v>1095</v>
      </c>
      <c r="N1560" s="1" t="s">
        <v>1102</v>
      </c>
      <c r="P1560" s="1" t="s">
        <v>1620</v>
      </c>
      <c r="Q1560" s="3">
        <v>1</v>
      </c>
      <c r="S1560" s="23" t="s">
        <v>5949</v>
      </c>
      <c r="T1560" s="23" t="s">
        <v>4931</v>
      </c>
      <c r="U1560" s="3">
        <v>34</v>
      </c>
      <c r="W1560" s="45" t="str">
        <f>HYPERLINK("http://ictvonline.org/taxonomy/p/taxonomy-history?taxnode_id=201853934","ICTVonline=201853934")</f>
        <v>ICTVonline=201853934</v>
      </c>
      <c r="AA1560" s="1">
        <v>201850000</v>
      </c>
      <c r="AB1560" s="1">
        <v>34</v>
      </c>
    </row>
    <row r="1561" spans="1:28" x14ac:dyDescent="0.15">
      <c r="A1561" s="1">
        <v>4097</v>
      </c>
      <c r="B1561" s="1" t="s">
        <v>7159</v>
      </c>
      <c r="L1561" s="1" t="s">
        <v>1095</v>
      </c>
      <c r="N1561" s="1" t="s">
        <v>1102</v>
      </c>
      <c r="P1561" s="1" t="s">
        <v>1621</v>
      </c>
      <c r="Q1561" s="3">
        <v>0</v>
      </c>
      <c r="S1561" s="23" t="s">
        <v>5949</v>
      </c>
      <c r="T1561" s="23" t="s">
        <v>4931</v>
      </c>
      <c r="U1561" s="3">
        <v>34</v>
      </c>
      <c r="W1561" s="45" t="str">
        <f>HYPERLINK("http://ictvonline.org/taxonomy/p/taxonomy-history?taxnode_id=201853935","ICTVonline=201853935")</f>
        <v>ICTVonline=201853935</v>
      </c>
      <c r="AA1561" s="1">
        <v>201850000</v>
      </c>
      <c r="AB1561" s="1">
        <v>34</v>
      </c>
    </row>
    <row r="1562" spans="1:28" x14ac:dyDescent="0.15">
      <c r="A1562" s="1">
        <v>4103</v>
      </c>
      <c r="B1562" s="1" t="s">
        <v>7159</v>
      </c>
      <c r="L1562" s="1" t="s">
        <v>1668</v>
      </c>
      <c r="N1562" s="1" t="s">
        <v>2518</v>
      </c>
      <c r="P1562" s="1" t="s">
        <v>953</v>
      </c>
      <c r="Q1562" s="3">
        <v>0</v>
      </c>
      <c r="S1562" s="23" t="s">
        <v>5949</v>
      </c>
      <c r="T1562" s="23" t="s">
        <v>4931</v>
      </c>
      <c r="U1562" s="3">
        <v>34</v>
      </c>
      <c r="W1562" s="45" t="str">
        <f>HYPERLINK("http://ictvonline.org/taxonomy/p/taxonomy-history?taxnode_id=201854141","ICTVonline=201854141")</f>
        <v>ICTVonline=201854141</v>
      </c>
      <c r="AA1562" s="1">
        <v>201850000</v>
      </c>
      <c r="AB1562" s="1">
        <v>34</v>
      </c>
    </row>
    <row r="1563" spans="1:28" x14ac:dyDescent="0.15">
      <c r="A1563" s="1">
        <v>4105</v>
      </c>
      <c r="B1563" s="1" t="s">
        <v>7159</v>
      </c>
      <c r="L1563" s="1" t="s">
        <v>1668</v>
      </c>
      <c r="N1563" s="1" t="s">
        <v>2518</v>
      </c>
      <c r="P1563" s="1" t="s">
        <v>2519</v>
      </c>
      <c r="Q1563" s="3">
        <v>0</v>
      </c>
      <c r="S1563" s="23" t="s">
        <v>5949</v>
      </c>
      <c r="T1563" s="23" t="s">
        <v>4931</v>
      </c>
      <c r="U1563" s="3">
        <v>34</v>
      </c>
      <c r="W1563" s="45" t="str">
        <f>HYPERLINK("http://ictvonline.org/taxonomy/p/taxonomy-history?taxnode_id=201854142","ICTVonline=201854142")</f>
        <v>ICTVonline=201854142</v>
      </c>
      <c r="AA1563" s="1">
        <v>201850000</v>
      </c>
      <c r="AB1563" s="1">
        <v>34</v>
      </c>
    </row>
    <row r="1564" spans="1:28" x14ac:dyDescent="0.15">
      <c r="A1564" s="1">
        <v>4107</v>
      </c>
      <c r="B1564" s="1" t="s">
        <v>7159</v>
      </c>
      <c r="L1564" s="1" t="s">
        <v>1668</v>
      </c>
      <c r="N1564" s="1" t="s">
        <v>2518</v>
      </c>
      <c r="P1564" s="1" t="s">
        <v>2520</v>
      </c>
      <c r="Q1564" s="3">
        <v>0</v>
      </c>
      <c r="S1564" s="23" t="s">
        <v>5949</v>
      </c>
      <c r="T1564" s="23" t="s">
        <v>4931</v>
      </c>
      <c r="U1564" s="3">
        <v>34</v>
      </c>
      <c r="W1564" s="45" t="str">
        <f>HYPERLINK("http://ictvonline.org/taxonomy/p/taxonomy-history?taxnode_id=201854143","ICTVonline=201854143")</f>
        <v>ICTVonline=201854143</v>
      </c>
      <c r="AA1564" s="1">
        <v>201850000</v>
      </c>
      <c r="AB1564" s="1">
        <v>34</v>
      </c>
    </row>
    <row r="1565" spans="1:28" x14ac:dyDescent="0.15">
      <c r="A1565" s="1">
        <v>4109</v>
      </c>
      <c r="B1565" s="1" t="s">
        <v>7159</v>
      </c>
      <c r="L1565" s="1" t="s">
        <v>1668</v>
      </c>
      <c r="N1565" s="1" t="s">
        <v>2518</v>
      </c>
      <c r="P1565" s="1" t="s">
        <v>2521</v>
      </c>
      <c r="Q1565" s="3">
        <v>0</v>
      </c>
      <c r="S1565" s="23" t="s">
        <v>5949</v>
      </c>
      <c r="T1565" s="23" t="s">
        <v>4931</v>
      </c>
      <c r="U1565" s="3">
        <v>34</v>
      </c>
      <c r="W1565" s="45" t="str">
        <f>HYPERLINK("http://ictvonline.org/taxonomy/p/taxonomy-history?taxnode_id=201854144","ICTVonline=201854144")</f>
        <v>ICTVonline=201854144</v>
      </c>
      <c r="AA1565" s="1">
        <v>201850000</v>
      </c>
      <c r="AB1565" s="1">
        <v>34</v>
      </c>
    </row>
    <row r="1566" spans="1:28" x14ac:dyDescent="0.15">
      <c r="A1566" s="1">
        <v>4111</v>
      </c>
      <c r="B1566" s="1" t="s">
        <v>7159</v>
      </c>
      <c r="L1566" s="1" t="s">
        <v>1668</v>
      </c>
      <c r="N1566" s="1" t="s">
        <v>2518</v>
      </c>
      <c r="P1566" s="1" t="s">
        <v>2522</v>
      </c>
      <c r="Q1566" s="3">
        <v>0</v>
      </c>
      <c r="S1566" s="23" t="s">
        <v>5949</v>
      </c>
      <c r="T1566" s="23" t="s">
        <v>4931</v>
      </c>
      <c r="U1566" s="3">
        <v>34</v>
      </c>
      <c r="W1566" s="45" t="str">
        <f>HYPERLINK("http://ictvonline.org/taxonomy/p/taxonomy-history?taxnode_id=201854145","ICTVonline=201854145")</f>
        <v>ICTVonline=201854145</v>
      </c>
      <c r="AA1566" s="1">
        <v>201850000</v>
      </c>
      <c r="AB1566" s="1">
        <v>34</v>
      </c>
    </row>
    <row r="1567" spans="1:28" x14ac:dyDescent="0.15">
      <c r="A1567" s="1">
        <v>4113</v>
      </c>
      <c r="B1567" s="1" t="s">
        <v>7159</v>
      </c>
      <c r="L1567" s="1" t="s">
        <v>1668</v>
      </c>
      <c r="N1567" s="1" t="s">
        <v>2518</v>
      </c>
      <c r="P1567" s="1" t="s">
        <v>2689</v>
      </c>
      <c r="Q1567" s="3">
        <v>0</v>
      </c>
      <c r="S1567" s="23" t="s">
        <v>5949</v>
      </c>
      <c r="T1567" s="23" t="s">
        <v>4931</v>
      </c>
      <c r="U1567" s="3">
        <v>34</v>
      </c>
      <c r="W1567" s="45" t="str">
        <f>HYPERLINK("http://ictvonline.org/taxonomy/p/taxonomy-history?taxnode_id=201854146","ICTVonline=201854146")</f>
        <v>ICTVonline=201854146</v>
      </c>
      <c r="AA1567" s="1">
        <v>201850000</v>
      </c>
      <c r="AB1567" s="1">
        <v>34</v>
      </c>
    </row>
    <row r="1568" spans="1:28" x14ac:dyDescent="0.15">
      <c r="A1568" s="1">
        <v>4115</v>
      </c>
      <c r="B1568" s="1" t="s">
        <v>7159</v>
      </c>
      <c r="L1568" s="1" t="s">
        <v>1668</v>
      </c>
      <c r="N1568" s="1" t="s">
        <v>2518</v>
      </c>
      <c r="P1568" s="1" t="s">
        <v>2690</v>
      </c>
      <c r="Q1568" s="3">
        <v>0</v>
      </c>
      <c r="S1568" s="23" t="s">
        <v>5949</v>
      </c>
      <c r="T1568" s="23" t="s">
        <v>4931</v>
      </c>
      <c r="U1568" s="3">
        <v>34</v>
      </c>
      <c r="W1568" s="45" t="str">
        <f>HYPERLINK("http://ictvonline.org/taxonomy/p/taxonomy-history?taxnode_id=201854147","ICTVonline=201854147")</f>
        <v>ICTVonline=201854147</v>
      </c>
      <c r="AA1568" s="1">
        <v>201850000</v>
      </c>
      <c r="AB1568" s="1">
        <v>34</v>
      </c>
    </row>
    <row r="1569" spans="1:28" x14ac:dyDescent="0.15">
      <c r="A1569" s="1">
        <v>4117</v>
      </c>
      <c r="B1569" s="1" t="s">
        <v>7159</v>
      </c>
      <c r="L1569" s="1" t="s">
        <v>1668</v>
      </c>
      <c r="N1569" s="1" t="s">
        <v>2518</v>
      </c>
      <c r="P1569" s="1" t="s">
        <v>2691</v>
      </c>
      <c r="Q1569" s="3">
        <v>0</v>
      </c>
      <c r="S1569" s="23" t="s">
        <v>5949</v>
      </c>
      <c r="T1569" s="23" t="s">
        <v>4931</v>
      </c>
      <c r="U1569" s="3">
        <v>34</v>
      </c>
      <c r="W1569" s="45" t="str">
        <f>HYPERLINK("http://ictvonline.org/taxonomy/p/taxonomy-history?taxnode_id=201854148","ICTVonline=201854148")</f>
        <v>ICTVonline=201854148</v>
      </c>
      <c r="AA1569" s="1">
        <v>201850000</v>
      </c>
      <c r="AB1569" s="1">
        <v>34</v>
      </c>
    </row>
    <row r="1570" spans="1:28" x14ac:dyDescent="0.15">
      <c r="A1570" s="1">
        <v>4119</v>
      </c>
      <c r="B1570" s="1" t="s">
        <v>7159</v>
      </c>
      <c r="L1570" s="1" t="s">
        <v>1668</v>
      </c>
      <c r="N1570" s="1" t="s">
        <v>2518</v>
      </c>
      <c r="P1570" s="1" t="s">
        <v>3911</v>
      </c>
      <c r="Q1570" s="3">
        <v>0</v>
      </c>
      <c r="S1570" s="23" t="s">
        <v>5949</v>
      </c>
      <c r="T1570" s="23" t="s">
        <v>4931</v>
      </c>
      <c r="U1570" s="3">
        <v>34</v>
      </c>
      <c r="W1570" s="45" t="str">
        <f>HYPERLINK("http://ictvonline.org/taxonomy/p/taxonomy-history?taxnode_id=201854149","ICTVonline=201854149")</f>
        <v>ICTVonline=201854149</v>
      </c>
      <c r="AA1570" s="1">
        <v>201850000</v>
      </c>
      <c r="AB1570" s="1">
        <v>34</v>
      </c>
    </row>
    <row r="1571" spans="1:28" x14ac:dyDescent="0.15">
      <c r="A1571" s="1">
        <v>4121</v>
      </c>
      <c r="B1571" s="1" t="s">
        <v>7159</v>
      </c>
      <c r="L1571" s="1" t="s">
        <v>1668</v>
      </c>
      <c r="N1571" s="1" t="s">
        <v>2518</v>
      </c>
      <c r="P1571" s="1" t="s">
        <v>3912</v>
      </c>
      <c r="Q1571" s="3">
        <v>0</v>
      </c>
      <c r="S1571" s="23" t="s">
        <v>5949</v>
      </c>
      <c r="T1571" s="23" t="s">
        <v>4931</v>
      </c>
      <c r="U1571" s="3">
        <v>34</v>
      </c>
      <c r="W1571" s="45" t="str">
        <f>HYPERLINK("http://ictvonline.org/taxonomy/p/taxonomy-history?taxnode_id=201854150","ICTVonline=201854150")</f>
        <v>ICTVonline=201854150</v>
      </c>
      <c r="AA1571" s="1">
        <v>201850000</v>
      </c>
      <c r="AB1571" s="1">
        <v>34</v>
      </c>
    </row>
    <row r="1572" spans="1:28" x14ac:dyDescent="0.15">
      <c r="A1572" s="1">
        <v>4123</v>
      </c>
      <c r="B1572" s="1" t="s">
        <v>7159</v>
      </c>
      <c r="L1572" s="1" t="s">
        <v>1668</v>
      </c>
      <c r="N1572" s="1" t="s">
        <v>2518</v>
      </c>
      <c r="P1572" s="1" t="s">
        <v>3913</v>
      </c>
      <c r="Q1572" s="3">
        <v>0</v>
      </c>
      <c r="S1572" s="23" t="s">
        <v>5949</v>
      </c>
      <c r="T1572" s="23" t="s">
        <v>4931</v>
      </c>
      <c r="U1572" s="3">
        <v>34</v>
      </c>
      <c r="W1572" s="45" t="str">
        <f>HYPERLINK("http://ictvonline.org/taxonomy/p/taxonomy-history?taxnode_id=201854151","ICTVonline=201854151")</f>
        <v>ICTVonline=201854151</v>
      </c>
      <c r="AA1572" s="1">
        <v>201850000</v>
      </c>
      <c r="AB1572" s="1">
        <v>34</v>
      </c>
    </row>
    <row r="1573" spans="1:28" x14ac:dyDescent="0.15">
      <c r="A1573" s="1">
        <v>4125</v>
      </c>
      <c r="B1573" s="1" t="s">
        <v>7159</v>
      </c>
      <c r="L1573" s="1" t="s">
        <v>1668</v>
      </c>
      <c r="N1573" s="1" t="s">
        <v>2518</v>
      </c>
      <c r="P1573" s="1" t="s">
        <v>2523</v>
      </c>
      <c r="Q1573" s="3">
        <v>0</v>
      </c>
      <c r="S1573" s="23" t="s">
        <v>5949</v>
      </c>
      <c r="T1573" s="23" t="s">
        <v>4931</v>
      </c>
      <c r="U1573" s="3">
        <v>34</v>
      </c>
      <c r="W1573" s="45" t="str">
        <f>HYPERLINK("http://ictvonline.org/taxonomy/p/taxonomy-history?taxnode_id=201854152","ICTVonline=201854152")</f>
        <v>ICTVonline=201854152</v>
      </c>
      <c r="AA1573" s="1">
        <v>201850000</v>
      </c>
      <c r="AB1573" s="1">
        <v>34</v>
      </c>
    </row>
    <row r="1574" spans="1:28" x14ac:dyDescent="0.15">
      <c r="A1574" s="1">
        <v>4127</v>
      </c>
      <c r="B1574" s="1" t="s">
        <v>7159</v>
      </c>
      <c r="L1574" s="1" t="s">
        <v>1668</v>
      </c>
      <c r="N1574" s="1" t="s">
        <v>2518</v>
      </c>
      <c r="P1574" s="1" t="s">
        <v>882</v>
      </c>
      <c r="Q1574" s="3">
        <v>0</v>
      </c>
      <c r="S1574" s="23" t="s">
        <v>5949</v>
      </c>
      <c r="T1574" s="23" t="s">
        <v>4931</v>
      </c>
      <c r="U1574" s="3">
        <v>34</v>
      </c>
      <c r="W1574" s="45" t="str">
        <f>HYPERLINK("http://ictvonline.org/taxonomy/p/taxonomy-history?taxnode_id=201854153","ICTVonline=201854153")</f>
        <v>ICTVonline=201854153</v>
      </c>
      <c r="AA1574" s="1">
        <v>201850000</v>
      </c>
      <c r="AB1574" s="1">
        <v>34</v>
      </c>
    </row>
    <row r="1575" spans="1:28" x14ac:dyDescent="0.15">
      <c r="A1575" s="1">
        <v>4129</v>
      </c>
      <c r="B1575" s="1" t="s">
        <v>7159</v>
      </c>
      <c r="L1575" s="1" t="s">
        <v>1668</v>
      </c>
      <c r="N1575" s="1" t="s">
        <v>2518</v>
      </c>
      <c r="P1575" s="1" t="s">
        <v>883</v>
      </c>
      <c r="Q1575" s="3">
        <v>1</v>
      </c>
      <c r="S1575" s="23" t="s">
        <v>5949</v>
      </c>
      <c r="T1575" s="23" t="s">
        <v>4931</v>
      </c>
      <c r="U1575" s="3">
        <v>34</v>
      </c>
      <c r="W1575" s="45" t="str">
        <f>HYPERLINK("http://ictvonline.org/taxonomy/p/taxonomy-history?taxnode_id=201854154","ICTVonline=201854154")</f>
        <v>ICTVonline=201854154</v>
      </c>
      <c r="AA1575" s="1">
        <v>201850000</v>
      </c>
      <c r="AB1575" s="1">
        <v>34</v>
      </c>
    </row>
    <row r="1576" spans="1:28" x14ac:dyDescent="0.15">
      <c r="A1576" s="1">
        <v>4133</v>
      </c>
      <c r="B1576" s="1" t="s">
        <v>7159</v>
      </c>
      <c r="L1576" s="1" t="s">
        <v>1668</v>
      </c>
      <c r="N1576" s="1" t="s">
        <v>2524</v>
      </c>
      <c r="P1576" s="1" t="s">
        <v>1603</v>
      </c>
      <c r="Q1576" s="3">
        <v>1</v>
      </c>
      <c r="S1576" s="23" t="s">
        <v>5949</v>
      </c>
      <c r="T1576" s="23" t="s">
        <v>4931</v>
      </c>
      <c r="U1576" s="3">
        <v>34</v>
      </c>
      <c r="W1576" s="45" t="str">
        <f>HYPERLINK("http://ictvonline.org/taxonomy/p/taxonomy-history?taxnode_id=201854156","ICTVonline=201854156")</f>
        <v>ICTVonline=201854156</v>
      </c>
      <c r="AA1576" s="1">
        <v>201850000</v>
      </c>
      <c r="AB1576" s="1">
        <v>34</v>
      </c>
    </row>
    <row r="1577" spans="1:28" x14ac:dyDescent="0.15">
      <c r="A1577" s="1">
        <v>4135</v>
      </c>
      <c r="B1577" s="1" t="s">
        <v>7159</v>
      </c>
      <c r="L1577" s="1" t="s">
        <v>1668</v>
      </c>
      <c r="N1577" s="1" t="s">
        <v>2524</v>
      </c>
      <c r="P1577" s="1" t="s">
        <v>2525</v>
      </c>
      <c r="Q1577" s="3">
        <v>0</v>
      </c>
      <c r="S1577" s="23" t="s">
        <v>5949</v>
      </c>
      <c r="T1577" s="23" t="s">
        <v>4931</v>
      </c>
      <c r="U1577" s="3">
        <v>34</v>
      </c>
      <c r="W1577" s="45" t="str">
        <f>HYPERLINK("http://ictvonline.org/taxonomy/p/taxonomy-history?taxnode_id=201854157","ICTVonline=201854157")</f>
        <v>ICTVonline=201854157</v>
      </c>
      <c r="AA1577" s="1">
        <v>201850000</v>
      </c>
      <c r="AB1577" s="1">
        <v>34</v>
      </c>
    </row>
    <row r="1578" spans="1:28" x14ac:dyDescent="0.15">
      <c r="A1578" s="1">
        <v>4137</v>
      </c>
      <c r="B1578" s="1" t="s">
        <v>7159</v>
      </c>
      <c r="L1578" s="1" t="s">
        <v>1668</v>
      </c>
      <c r="N1578" s="1" t="s">
        <v>2524</v>
      </c>
      <c r="P1578" s="1" t="s">
        <v>781</v>
      </c>
      <c r="Q1578" s="3">
        <v>0</v>
      </c>
      <c r="S1578" s="23" t="s">
        <v>5949</v>
      </c>
      <c r="T1578" s="23" t="s">
        <v>4931</v>
      </c>
      <c r="U1578" s="3">
        <v>34</v>
      </c>
      <c r="W1578" s="45" t="str">
        <f>HYPERLINK("http://ictvonline.org/taxonomy/p/taxonomy-history?taxnode_id=201854158","ICTVonline=201854158")</f>
        <v>ICTVonline=201854158</v>
      </c>
      <c r="AA1578" s="1">
        <v>201850000</v>
      </c>
      <c r="AB1578" s="1">
        <v>34</v>
      </c>
    </row>
    <row r="1579" spans="1:28" x14ac:dyDescent="0.15">
      <c r="A1579" s="1">
        <v>4139</v>
      </c>
      <c r="B1579" s="1" t="s">
        <v>7159</v>
      </c>
      <c r="L1579" s="1" t="s">
        <v>1668</v>
      </c>
      <c r="N1579" s="1" t="s">
        <v>2524</v>
      </c>
      <c r="P1579" s="1" t="s">
        <v>2526</v>
      </c>
      <c r="Q1579" s="3">
        <v>0</v>
      </c>
      <c r="S1579" s="23" t="s">
        <v>5949</v>
      </c>
      <c r="T1579" s="23" t="s">
        <v>4931</v>
      </c>
      <c r="U1579" s="3">
        <v>34</v>
      </c>
      <c r="W1579" s="45" t="str">
        <f>HYPERLINK("http://ictvonline.org/taxonomy/p/taxonomy-history?taxnode_id=201854159","ICTVonline=201854159")</f>
        <v>ICTVonline=201854159</v>
      </c>
      <c r="AA1579" s="1">
        <v>201850000</v>
      </c>
      <c r="AB1579" s="1">
        <v>34</v>
      </c>
    </row>
    <row r="1580" spans="1:28" x14ac:dyDescent="0.15">
      <c r="A1580" s="1">
        <v>4141</v>
      </c>
      <c r="B1580" s="1" t="s">
        <v>7159</v>
      </c>
      <c r="L1580" s="1" t="s">
        <v>1668</v>
      </c>
      <c r="N1580" s="1" t="s">
        <v>2524</v>
      </c>
      <c r="P1580" s="1" t="s">
        <v>2527</v>
      </c>
      <c r="Q1580" s="3">
        <v>0</v>
      </c>
      <c r="S1580" s="23" t="s">
        <v>5949</v>
      </c>
      <c r="T1580" s="23" t="s">
        <v>4931</v>
      </c>
      <c r="U1580" s="3">
        <v>34</v>
      </c>
      <c r="W1580" s="45" t="str">
        <f>HYPERLINK("http://ictvonline.org/taxonomy/p/taxonomy-history?taxnode_id=201854160","ICTVonline=201854160")</f>
        <v>ICTVonline=201854160</v>
      </c>
      <c r="AA1580" s="1">
        <v>201850000</v>
      </c>
      <c r="AB1580" s="1">
        <v>34</v>
      </c>
    </row>
    <row r="1581" spans="1:28" x14ac:dyDescent="0.15">
      <c r="A1581" s="1">
        <v>4143</v>
      </c>
      <c r="B1581" s="1" t="s">
        <v>7159</v>
      </c>
      <c r="L1581" s="1" t="s">
        <v>1668</v>
      </c>
      <c r="N1581" s="1" t="s">
        <v>2524</v>
      </c>
      <c r="P1581" s="1" t="s">
        <v>1916</v>
      </c>
      <c r="Q1581" s="3">
        <v>0</v>
      </c>
      <c r="S1581" s="23" t="s">
        <v>5949</v>
      </c>
      <c r="T1581" s="23" t="s">
        <v>4931</v>
      </c>
      <c r="U1581" s="3">
        <v>34</v>
      </c>
      <c r="W1581" s="45" t="str">
        <f>HYPERLINK("http://ictvonline.org/taxonomy/p/taxonomy-history?taxnode_id=201854161","ICTVonline=201854161")</f>
        <v>ICTVonline=201854161</v>
      </c>
      <c r="AA1581" s="1">
        <v>201850000</v>
      </c>
      <c r="AB1581" s="1">
        <v>34</v>
      </c>
    </row>
    <row r="1582" spans="1:28" x14ac:dyDescent="0.15">
      <c r="A1582" s="1">
        <v>4145</v>
      </c>
      <c r="B1582" s="1" t="s">
        <v>7159</v>
      </c>
      <c r="L1582" s="1" t="s">
        <v>1668</v>
      </c>
      <c r="N1582" s="1" t="s">
        <v>2524</v>
      </c>
      <c r="P1582" s="1" t="s">
        <v>2692</v>
      </c>
      <c r="Q1582" s="3">
        <v>0</v>
      </c>
      <c r="S1582" s="23" t="s">
        <v>5949</v>
      </c>
      <c r="T1582" s="23" t="s">
        <v>4931</v>
      </c>
      <c r="U1582" s="3">
        <v>34</v>
      </c>
      <c r="W1582" s="45" t="str">
        <f>HYPERLINK("http://ictvonline.org/taxonomy/p/taxonomy-history?taxnode_id=201854162","ICTVonline=201854162")</f>
        <v>ICTVonline=201854162</v>
      </c>
      <c r="AA1582" s="1">
        <v>201850000</v>
      </c>
      <c r="AB1582" s="1">
        <v>34</v>
      </c>
    </row>
    <row r="1583" spans="1:28" x14ac:dyDescent="0.15">
      <c r="A1583" s="1">
        <v>4147</v>
      </c>
      <c r="B1583" s="1" t="s">
        <v>7159</v>
      </c>
      <c r="L1583" s="1" t="s">
        <v>1668</v>
      </c>
      <c r="N1583" s="1" t="s">
        <v>2524</v>
      </c>
      <c r="P1583" s="1" t="s">
        <v>3914</v>
      </c>
      <c r="Q1583" s="3">
        <v>0</v>
      </c>
      <c r="S1583" s="23" t="s">
        <v>5949</v>
      </c>
      <c r="T1583" s="23" t="s">
        <v>4931</v>
      </c>
      <c r="U1583" s="3">
        <v>34</v>
      </c>
      <c r="W1583" s="45" t="str">
        <f>HYPERLINK("http://ictvonline.org/taxonomy/p/taxonomy-history?taxnode_id=201854163","ICTVonline=201854163")</f>
        <v>ICTVonline=201854163</v>
      </c>
      <c r="AA1583" s="1">
        <v>201850000</v>
      </c>
      <c r="AB1583" s="1">
        <v>34</v>
      </c>
    </row>
    <row r="1584" spans="1:28" x14ac:dyDescent="0.15">
      <c r="A1584" s="1">
        <v>4149</v>
      </c>
      <c r="B1584" s="1" t="s">
        <v>7159</v>
      </c>
      <c r="L1584" s="1" t="s">
        <v>1668</v>
      </c>
      <c r="N1584" s="1" t="s">
        <v>2524</v>
      </c>
      <c r="P1584" s="1" t="s">
        <v>2693</v>
      </c>
      <c r="Q1584" s="3">
        <v>0</v>
      </c>
      <c r="S1584" s="23" t="s">
        <v>5949</v>
      </c>
      <c r="T1584" s="23" t="s">
        <v>4931</v>
      </c>
      <c r="U1584" s="3">
        <v>34</v>
      </c>
      <c r="W1584" s="45" t="str">
        <f>HYPERLINK("http://ictvonline.org/taxonomy/p/taxonomy-history?taxnode_id=201854164","ICTVonline=201854164")</f>
        <v>ICTVonline=201854164</v>
      </c>
      <c r="AA1584" s="1">
        <v>201850000</v>
      </c>
      <c r="AB1584" s="1">
        <v>34</v>
      </c>
    </row>
    <row r="1585" spans="1:28" x14ac:dyDescent="0.15">
      <c r="A1585" s="1">
        <v>4151</v>
      </c>
      <c r="B1585" s="1" t="s">
        <v>7159</v>
      </c>
      <c r="L1585" s="1" t="s">
        <v>1668</v>
      </c>
      <c r="N1585" s="1" t="s">
        <v>2524</v>
      </c>
      <c r="P1585" s="1" t="s">
        <v>2694</v>
      </c>
      <c r="Q1585" s="3">
        <v>0</v>
      </c>
      <c r="S1585" s="23" t="s">
        <v>5949</v>
      </c>
      <c r="T1585" s="23" t="s">
        <v>4931</v>
      </c>
      <c r="U1585" s="3">
        <v>34</v>
      </c>
      <c r="W1585" s="45" t="str">
        <f>HYPERLINK("http://ictvonline.org/taxonomy/p/taxonomy-history?taxnode_id=201854165","ICTVonline=201854165")</f>
        <v>ICTVonline=201854165</v>
      </c>
      <c r="AA1585" s="1">
        <v>201850000</v>
      </c>
      <c r="AB1585" s="1">
        <v>34</v>
      </c>
    </row>
    <row r="1586" spans="1:28" x14ac:dyDescent="0.15">
      <c r="A1586" s="1">
        <v>4153</v>
      </c>
      <c r="B1586" s="1" t="s">
        <v>7159</v>
      </c>
      <c r="L1586" s="1" t="s">
        <v>1668</v>
      </c>
      <c r="N1586" s="1" t="s">
        <v>2524</v>
      </c>
      <c r="P1586" s="1" t="s">
        <v>616</v>
      </c>
      <c r="Q1586" s="3">
        <v>0</v>
      </c>
      <c r="S1586" s="23" t="s">
        <v>5949</v>
      </c>
      <c r="T1586" s="23" t="s">
        <v>4931</v>
      </c>
      <c r="U1586" s="3">
        <v>34</v>
      </c>
      <c r="W1586" s="45" t="str">
        <f>HYPERLINK("http://ictvonline.org/taxonomy/p/taxonomy-history?taxnode_id=201854166","ICTVonline=201854166")</f>
        <v>ICTVonline=201854166</v>
      </c>
      <c r="AA1586" s="1">
        <v>201850000</v>
      </c>
      <c r="AB1586" s="1">
        <v>34</v>
      </c>
    </row>
    <row r="1587" spans="1:28" x14ac:dyDescent="0.15">
      <c r="A1587" s="1">
        <v>4155</v>
      </c>
      <c r="B1587" s="1" t="s">
        <v>7159</v>
      </c>
      <c r="L1587" s="1" t="s">
        <v>1668</v>
      </c>
      <c r="N1587" s="1" t="s">
        <v>2524</v>
      </c>
      <c r="P1587" s="1" t="s">
        <v>1250</v>
      </c>
      <c r="Q1587" s="3">
        <v>0</v>
      </c>
      <c r="S1587" s="23" t="s">
        <v>5949</v>
      </c>
      <c r="T1587" s="23" t="s">
        <v>4931</v>
      </c>
      <c r="U1587" s="3">
        <v>34</v>
      </c>
      <c r="W1587" s="45" t="str">
        <f>HYPERLINK("http://ictvonline.org/taxonomy/p/taxonomy-history?taxnode_id=201854167","ICTVonline=201854167")</f>
        <v>ICTVonline=201854167</v>
      </c>
      <c r="AA1587" s="1">
        <v>201850000</v>
      </c>
      <c r="AB1587" s="1">
        <v>34</v>
      </c>
    </row>
    <row r="1588" spans="1:28" x14ac:dyDescent="0.15">
      <c r="A1588" s="1">
        <v>4157</v>
      </c>
      <c r="B1588" s="1" t="s">
        <v>7159</v>
      </c>
      <c r="L1588" s="1" t="s">
        <v>1668</v>
      </c>
      <c r="N1588" s="1" t="s">
        <v>2524</v>
      </c>
      <c r="P1588" s="1" t="s">
        <v>2528</v>
      </c>
      <c r="Q1588" s="3">
        <v>0</v>
      </c>
      <c r="S1588" s="23" t="s">
        <v>5949</v>
      </c>
      <c r="T1588" s="23" t="s">
        <v>4931</v>
      </c>
      <c r="U1588" s="3">
        <v>34</v>
      </c>
      <c r="W1588" s="45" t="str">
        <f>HYPERLINK("http://ictvonline.org/taxonomy/p/taxonomy-history?taxnode_id=201854168","ICTVonline=201854168")</f>
        <v>ICTVonline=201854168</v>
      </c>
      <c r="AA1588" s="1">
        <v>201850000</v>
      </c>
      <c r="AB1588" s="1">
        <v>34</v>
      </c>
    </row>
    <row r="1589" spans="1:28" x14ac:dyDescent="0.15">
      <c r="A1589" s="1">
        <v>4159</v>
      </c>
      <c r="B1589" s="1" t="s">
        <v>7159</v>
      </c>
      <c r="L1589" s="1" t="s">
        <v>1668</v>
      </c>
      <c r="N1589" s="1" t="s">
        <v>2524</v>
      </c>
      <c r="P1589" s="1" t="s">
        <v>617</v>
      </c>
      <c r="Q1589" s="3">
        <v>0</v>
      </c>
      <c r="S1589" s="23" t="s">
        <v>5949</v>
      </c>
      <c r="T1589" s="23" t="s">
        <v>4931</v>
      </c>
      <c r="U1589" s="3">
        <v>34</v>
      </c>
      <c r="W1589" s="45" t="str">
        <f>HYPERLINK("http://ictvonline.org/taxonomy/p/taxonomy-history?taxnode_id=201854169","ICTVonline=201854169")</f>
        <v>ICTVonline=201854169</v>
      </c>
      <c r="AA1589" s="1">
        <v>201850000</v>
      </c>
      <c r="AB1589" s="1">
        <v>34</v>
      </c>
    </row>
    <row r="1590" spans="1:28" x14ac:dyDescent="0.15">
      <c r="A1590" s="1">
        <v>4161</v>
      </c>
      <c r="B1590" s="1" t="s">
        <v>7159</v>
      </c>
      <c r="L1590" s="1" t="s">
        <v>1668</v>
      </c>
      <c r="N1590" s="1" t="s">
        <v>2524</v>
      </c>
      <c r="P1590" s="1" t="s">
        <v>892</v>
      </c>
      <c r="Q1590" s="3">
        <v>0</v>
      </c>
      <c r="S1590" s="23" t="s">
        <v>5949</v>
      </c>
      <c r="T1590" s="23" t="s">
        <v>4931</v>
      </c>
      <c r="U1590" s="3">
        <v>34</v>
      </c>
      <c r="W1590" s="45" t="str">
        <f>HYPERLINK("http://ictvonline.org/taxonomy/p/taxonomy-history?taxnode_id=201854170","ICTVonline=201854170")</f>
        <v>ICTVonline=201854170</v>
      </c>
      <c r="AA1590" s="1">
        <v>201850000</v>
      </c>
      <c r="AB1590" s="1">
        <v>34</v>
      </c>
    </row>
    <row r="1591" spans="1:28" x14ac:dyDescent="0.15">
      <c r="A1591" s="1">
        <v>4163</v>
      </c>
      <c r="B1591" s="1" t="s">
        <v>7159</v>
      </c>
      <c r="L1591" s="1" t="s">
        <v>1668</v>
      </c>
      <c r="N1591" s="1" t="s">
        <v>2524</v>
      </c>
      <c r="P1591" s="1" t="s">
        <v>1515</v>
      </c>
      <c r="Q1591" s="3">
        <v>0</v>
      </c>
      <c r="S1591" s="23" t="s">
        <v>5949</v>
      </c>
      <c r="T1591" s="23" t="s">
        <v>4931</v>
      </c>
      <c r="U1591" s="3">
        <v>34</v>
      </c>
      <c r="W1591" s="45" t="str">
        <f>HYPERLINK("http://ictvonline.org/taxonomy/p/taxonomy-history?taxnode_id=201854171","ICTVonline=201854171")</f>
        <v>ICTVonline=201854171</v>
      </c>
      <c r="AA1591" s="1">
        <v>201850000</v>
      </c>
      <c r="AB1591" s="1">
        <v>34</v>
      </c>
    </row>
    <row r="1592" spans="1:28" x14ac:dyDescent="0.15">
      <c r="A1592" s="1">
        <v>4165</v>
      </c>
      <c r="B1592" s="1" t="s">
        <v>7159</v>
      </c>
      <c r="L1592" s="1" t="s">
        <v>1668</v>
      </c>
      <c r="N1592" s="1" t="s">
        <v>2524</v>
      </c>
      <c r="P1592" s="1" t="s">
        <v>618</v>
      </c>
      <c r="Q1592" s="3">
        <v>0</v>
      </c>
      <c r="S1592" s="23" t="s">
        <v>5949</v>
      </c>
      <c r="T1592" s="23" t="s">
        <v>4931</v>
      </c>
      <c r="U1592" s="3">
        <v>34</v>
      </c>
      <c r="W1592" s="45" t="str">
        <f>HYPERLINK("http://ictvonline.org/taxonomy/p/taxonomy-history?taxnode_id=201854172","ICTVonline=201854172")</f>
        <v>ICTVonline=201854172</v>
      </c>
      <c r="AA1592" s="1">
        <v>201850000</v>
      </c>
      <c r="AB1592" s="1">
        <v>34</v>
      </c>
    </row>
    <row r="1593" spans="1:28" x14ac:dyDescent="0.15">
      <c r="A1593" s="1">
        <v>4169</v>
      </c>
      <c r="B1593" s="1" t="s">
        <v>7159</v>
      </c>
      <c r="L1593" s="1" t="s">
        <v>1668</v>
      </c>
      <c r="N1593" s="1" t="s">
        <v>1251</v>
      </c>
      <c r="P1593" s="1" t="s">
        <v>293</v>
      </c>
      <c r="Q1593" s="3">
        <v>1</v>
      </c>
      <c r="S1593" s="23" t="s">
        <v>5949</v>
      </c>
      <c r="T1593" s="23" t="s">
        <v>4931</v>
      </c>
      <c r="U1593" s="3">
        <v>34</v>
      </c>
      <c r="W1593" s="45" t="str">
        <f>HYPERLINK("http://ictvonline.org/taxonomy/p/taxonomy-history?taxnode_id=201854174","ICTVonline=201854174")</f>
        <v>ICTVonline=201854174</v>
      </c>
      <c r="AA1593" s="1">
        <v>201850000</v>
      </c>
      <c r="AB1593" s="1">
        <v>34</v>
      </c>
    </row>
    <row r="1594" spans="1:28" x14ac:dyDescent="0.15">
      <c r="A1594" s="1">
        <v>4173</v>
      </c>
      <c r="B1594" s="1" t="s">
        <v>7159</v>
      </c>
      <c r="L1594" s="1" t="s">
        <v>1668</v>
      </c>
      <c r="N1594" s="1" t="s">
        <v>2529</v>
      </c>
      <c r="P1594" s="1" t="s">
        <v>954</v>
      </c>
      <c r="Q1594" s="3">
        <v>0</v>
      </c>
      <c r="S1594" s="23" t="s">
        <v>5949</v>
      </c>
      <c r="T1594" s="23" t="s">
        <v>4931</v>
      </c>
      <c r="U1594" s="3">
        <v>34</v>
      </c>
      <c r="W1594" s="45" t="str">
        <f>HYPERLINK("http://ictvonline.org/taxonomy/p/taxonomy-history?taxnode_id=201854176","ICTVonline=201854176")</f>
        <v>ICTVonline=201854176</v>
      </c>
      <c r="AA1594" s="1">
        <v>201850000</v>
      </c>
      <c r="AB1594" s="1">
        <v>34</v>
      </c>
    </row>
    <row r="1595" spans="1:28" x14ac:dyDescent="0.15">
      <c r="A1595" s="1">
        <v>4175</v>
      </c>
      <c r="B1595" s="1" t="s">
        <v>7159</v>
      </c>
      <c r="L1595" s="1" t="s">
        <v>1668</v>
      </c>
      <c r="N1595" s="1" t="s">
        <v>2529</v>
      </c>
      <c r="P1595" s="1" t="s">
        <v>955</v>
      </c>
      <c r="Q1595" s="3">
        <v>0</v>
      </c>
      <c r="S1595" s="23" t="s">
        <v>5949</v>
      </c>
      <c r="T1595" s="23" t="s">
        <v>4931</v>
      </c>
      <c r="U1595" s="3">
        <v>34</v>
      </c>
      <c r="W1595" s="45" t="str">
        <f>HYPERLINK("http://ictvonline.org/taxonomy/p/taxonomy-history?taxnode_id=201854177","ICTVonline=201854177")</f>
        <v>ICTVonline=201854177</v>
      </c>
      <c r="AA1595" s="1">
        <v>201850000</v>
      </c>
      <c r="AB1595" s="1">
        <v>34</v>
      </c>
    </row>
    <row r="1596" spans="1:28" x14ac:dyDescent="0.15">
      <c r="A1596" s="1">
        <v>4177</v>
      </c>
      <c r="B1596" s="1" t="s">
        <v>7159</v>
      </c>
      <c r="L1596" s="1" t="s">
        <v>1668</v>
      </c>
      <c r="N1596" s="1" t="s">
        <v>2529</v>
      </c>
      <c r="P1596" s="1" t="s">
        <v>2530</v>
      </c>
      <c r="Q1596" s="3">
        <v>0</v>
      </c>
      <c r="S1596" s="23" t="s">
        <v>5949</v>
      </c>
      <c r="T1596" s="23" t="s">
        <v>4931</v>
      </c>
      <c r="U1596" s="3">
        <v>34</v>
      </c>
      <c r="W1596" s="45" t="str">
        <f>HYPERLINK("http://ictvonline.org/taxonomy/p/taxonomy-history?taxnode_id=201854178","ICTVonline=201854178")</f>
        <v>ICTVonline=201854178</v>
      </c>
      <c r="AA1596" s="1">
        <v>201850000</v>
      </c>
      <c r="AB1596" s="1">
        <v>34</v>
      </c>
    </row>
    <row r="1597" spans="1:28" x14ac:dyDescent="0.15">
      <c r="A1597" s="1">
        <v>4179</v>
      </c>
      <c r="B1597" s="1" t="s">
        <v>7159</v>
      </c>
      <c r="L1597" s="1" t="s">
        <v>1668</v>
      </c>
      <c r="N1597" s="1" t="s">
        <v>2529</v>
      </c>
      <c r="P1597" s="1" t="s">
        <v>2531</v>
      </c>
      <c r="Q1597" s="3">
        <v>1</v>
      </c>
      <c r="S1597" s="23" t="s">
        <v>5949</v>
      </c>
      <c r="T1597" s="23" t="s">
        <v>4931</v>
      </c>
      <c r="U1597" s="3">
        <v>34</v>
      </c>
      <c r="W1597" s="45" t="str">
        <f>HYPERLINK("http://ictvonline.org/taxonomy/p/taxonomy-history?taxnode_id=201854179","ICTVonline=201854179")</f>
        <v>ICTVonline=201854179</v>
      </c>
      <c r="AA1597" s="1">
        <v>201850000</v>
      </c>
      <c r="AB1597" s="1">
        <v>34</v>
      </c>
    </row>
    <row r="1598" spans="1:28" x14ac:dyDescent="0.15">
      <c r="A1598" s="1">
        <v>4181</v>
      </c>
      <c r="B1598" s="1" t="s">
        <v>7159</v>
      </c>
      <c r="L1598" s="1" t="s">
        <v>1668</v>
      </c>
      <c r="N1598" s="1" t="s">
        <v>2529</v>
      </c>
      <c r="P1598" s="1" t="s">
        <v>2532</v>
      </c>
      <c r="Q1598" s="3">
        <v>0</v>
      </c>
      <c r="S1598" s="23" t="s">
        <v>5949</v>
      </c>
      <c r="T1598" s="23" t="s">
        <v>4931</v>
      </c>
      <c r="U1598" s="3">
        <v>34</v>
      </c>
      <c r="W1598" s="45" t="str">
        <f>HYPERLINK("http://ictvonline.org/taxonomy/p/taxonomy-history?taxnode_id=201854180","ICTVonline=201854180")</f>
        <v>ICTVonline=201854180</v>
      </c>
      <c r="AA1598" s="1">
        <v>201850000</v>
      </c>
      <c r="AB1598" s="1">
        <v>34</v>
      </c>
    </row>
    <row r="1599" spans="1:28" x14ac:dyDescent="0.15">
      <c r="A1599" s="1">
        <v>4185</v>
      </c>
      <c r="B1599" s="1" t="s">
        <v>7159</v>
      </c>
      <c r="L1599" s="1" t="s">
        <v>1668</v>
      </c>
      <c r="N1599" s="1" t="s">
        <v>2533</v>
      </c>
      <c r="P1599" s="1" t="s">
        <v>620</v>
      </c>
      <c r="Q1599" s="3">
        <v>0</v>
      </c>
      <c r="S1599" s="23" t="s">
        <v>5949</v>
      </c>
      <c r="T1599" s="23" t="s">
        <v>4931</v>
      </c>
      <c r="U1599" s="3">
        <v>34</v>
      </c>
      <c r="W1599" s="45" t="str">
        <f>HYPERLINK("http://ictvonline.org/taxonomy/p/taxonomy-history?taxnode_id=201854182","ICTVonline=201854182")</f>
        <v>ICTVonline=201854182</v>
      </c>
      <c r="AA1599" s="1">
        <v>201850000</v>
      </c>
      <c r="AB1599" s="1">
        <v>34</v>
      </c>
    </row>
    <row r="1600" spans="1:28" x14ac:dyDescent="0.15">
      <c r="A1600" s="1">
        <v>4187</v>
      </c>
      <c r="B1600" s="1" t="s">
        <v>7159</v>
      </c>
      <c r="L1600" s="1" t="s">
        <v>1668</v>
      </c>
      <c r="N1600" s="1" t="s">
        <v>2533</v>
      </c>
      <c r="P1600" s="1" t="s">
        <v>1604</v>
      </c>
      <c r="Q1600" s="3">
        <v>0</v>
      </c>
      <c r="S1600" s="23" t="s">
        <v>5949</v>
      </c>
      <c r="T1600" s="23" t="s">
        <v>4931</v>
      </c>
      <c r="U1600" s="3">
        <v>34</v>
      </c>
      <c r="W1600" s="45" t="str">
        <f>HYPERLINK("http://ictvonline.org/taxonomy/p/taxonomy-history?taxnode_id=201854183","ICTVonline=201854183")</f>
        <v>ICTVonline=201854183</v>
      </c>
      <c r="AA1600" s="1">
        <v>201850000</v>
      </c>
      <c r="AB1600" s="1">
        <v>34</v>
      </c>
    </row>
    <row r="1601" spans="1:28" x14ac:dyDescent="0.15">
      <c r="A1601" s="1">
        <v>4189</v>
      </c>
      <c r="B1601" s="1" t="s">
        <v>7159</v>
      </c>
      <c r="L1601" s="1" t="s">
        <v>1668</v>
      </c>
      <c r="N1601" s="1" t="s">
        <v>2533</v>
      </c>
      <c r="P1601" s="1" t="s">
        <v>1915</v>
      </c>
      <c r="Q1601" s="3">
        <v>0</v>
      </c>
      <c r="S1601" s="23" t="s">
        <v>5949</v>
      </c>
      <c r="T1601" s="23" t="s">
        <v>4931</v>
      </c>
      <c r="U1601" s="3">
        <v>34</v>
      </c>
      <c r="W1601" s="45" t="str">
        <f>HYPERLINK("http://ictvonline.org/taxonomy/p/taxonomy-history?taxnode_id=201854184","ICTVonline=201854184")</f>
        <v>ICTVonline=201854184</v>
      </c>
      <c r="AA1601" s="1">
        <v>201850000</v>
      </c>
      <c r="AB1601" s="1">
        <v>34</v>
      </c>
    </row>
    <row r="1602" spans="1:28" x14ac:dyDescent="0.15">
      <c r="A1602" s="1">
        <v>4191</v>
      </c>
      <c r="B1602" s="1" t="s">
        <v>7159</v>
      </c>
      <c r="L1602" s="1" t="s">
        <v>1668</v>
      </c>
      <c r="N1602" s="1" t="s">
        <v>2533</v>
      </c>
      <c r="P1602" s="1" t="s">
        <v>1917</v>
      </c>
      <c r="Q1602" s="3">
        <v>0</v>
      </c>
      <c r="S1602" s="23" t="s">
        <v>5949</v>
      </c>
      <c r="T1602" s="23" t="s">
        <v>4931</v>
      </c>
      <c r="U1602" s="3">
        <v>34</v>
      </c>
      <c r="W1602" s="45" t="str">
        <f>HYPERLINK("http://ictvonline.org/taxonomy/p/taxonomy-history?taxnode_id=201854185","ICTVonline=201854185")</f>
        <v>ICTVonline=201854185</v>
      </c>
      <c r="AA1602" s="1">
        <v>201850000</v>
      </c>
      <c r="AB1602" s="1">
        <v>34</v>
      </c>
    </row>
    <row r="1603" spans="1:28" x14ac:dyDescent="0.15">
      <c r="A1603" s="1">
        <v>4193</v>
      </c>
      <c r="B1603" s="1" t="s">
        <v>7159</v>
      </c>
      <c r="L1603" s="1" t="s">
        <v>1668</v>
      </c>
      <c r="N1603" s="1" t="s">
        <v>2533</v>
      </c>
      <c r="P1603" s="1" t="s">
        <v>899</v>
      </c>
      <c r="Q1603" s="3">
        <v>0</v>
      </c>
      <c r="S1603" s="23" t="s">
        <v>5949</v>
      </c>
      <c r="T1603" s="23" t="s">
        <v>4931</v>
      </c>
      <c r="U1603" s="3">
        <v>34</v>
      </c>
      <c r="W1603" s="45" t="str">
        <f>HYPERLINK("http://ictvonline.org/taxonomy/p/taxonomy-history?taxnode_id=201854186","ICTVonline=201854186")</f>
        <v>ICTVonline=201854186</v>
      </c>
      <c r="AA1603" s="1">
        <v>201850000</v>
      </c>
      <c r="AB1603" s="1">
        <v>34</v>
      </c>
    </row>
    <row r="1604" spans="1:28" x14ac:dyDescent="0.15">
      <c r="A1604" s="1">
        <v>4195</v>
      </c>
      <c r="B1604" s="1" t="s">
        <v>7159</v>
      </c>
      <c r="L1604" s="1" t="s">
        <v>1668</v>
      </c>
      <c r="N1604" s="1" t="s">
        <v>2533</v>
      </c>
      <c r="P1604" s="1" t="s">
        <v>1248</v>
      </c>
      <c r="Q1604" s="3">
        <v>0</v>
      </c>
      <c r="S1604" s="23" t="s">
        <v>5949</v>
      </c>
      <c r="T1604" s="23" t="s">
        <v>4931</v>
      </c>
      <c r="U1604" s="3">
        <v>34</v>
      </c>
      <c r="W1604" s="45" t="str">
        <f>HYPERLINK("http://ictvonline.org/taxonomy/p/taxonomy-history?taxnode_id=201854187","ICTVonline=201854187")</f>
        <v>ICTVonline=201854187</v>
      </c>
      <c r="AA1604" s="1">
        <v>201850000</v>
      </c>
      <c r="AB1604" s="1">
        <v>34</v>
      </c>
    </row>
    <row r="1605" spans="1:28" x14ac:dyDescent="0.15">
      <c r="A1605" s="1">
        <v>4197</v>
      </c>
      <c r="B1605" s="1" t="s">
        <v>7159</v>
      </c>
      <c r="L1605" s="1" t="s">
        <v>1668</v>
      </c>
      <c r="N1605" s="1" t="s">
        <v>2533</v>
      </c>
      <c r="P1605" s="1" t="s">
        <v>1249</v>
      </c>
      <c r="Q1605" s="3">
        <v>0</v>
      </c>
      <c r="S1605" s="23" t="s">
        <v>5949</v>
      </c>
      <c r="T1605" s="23" t="s">
        <v>4931</v>
      </c>
      <c r="U1605" s="3">
        <v>34</v>
      </c>
      <c r="W1605" s="45" t="str">
        <f>HYPERLINK("http://ictvonline.org/taxonomy/p/taxonomy-history?taxnode_id=201854188","ICTVonline=201854188")</f>
        <v>ICTVonline=201854188</v>
      </c>
      <c r="AA1605" s="1">
        <v>201850000</v>
      </c>
      <c r="AB1605" s="1">
        <v>34</v>
      </c>
    </row>
    <row r="1606" spans="1:28" x14ac:dyDescent="0.15">
      <c r="A1606" s="1">
        <v>4199</v>
      </c>
      <c r="B1606" s="1" t="s">
        <v>7159</v>
      </c>
      <c r="L1606" s="1" t="s">
        <v>1668</v>
      </c>
      <c r="N1606" s="1" t="s">
        <v>2533</v>
      </c>
      <c r="P1606" s="1" t="s">
        <v>891</v>
      </c>
      <c r="Q1606" s="3">
        <v>1</v>
      </c>
      <c r="S1606" s="23" t="s">
        <v>5949</v>
      </c>
      <c r="T1606" s="23" t="s">
        <v>4931</v>
      </c>
      <c r="U1606" s="3">
        <v>34</v>
      </c>
      <c r="W1606" s="45" t="str">
        <f>HYPERLINK("http://ictvonline.org/taxonomy/p/taxonomy-history?taxnode_id=201854189","ICTVonline=201854189")</f>
        <v>ICTVonline=201854189</v>
      </c>
      <c r="AA1606" s="1">
        <v>201850000</v>
      </c>
      <c r="AB1606" s="1">
        <v>34</v>
      </c>
    </row>
    <row r="1607" spans="1:28" x14ac:dyDescent="0.15">
      <c r="A1607" s="1">
        <v>4202</v>
      </c>
      <c r="B1607" s="1" t="s">
        <v>7159</v>
      </c>
      <c r="L1607" s="1" t="s">
        <v>1668</v>
      </c>
      <c r="P1607" s="1" t="s">
        <v>619</v>
      </c>
      <c r="Q1607" s="3">
        <v>0</v>
      </c>
      <c r="S1607" s="23" t="s">
        <v>5949</v>
      </c>
      <c r="T1607" s="23" t="s">
        <v>4931</v>
      </c>
      <c r="U1607" s="3">
        <v>34</v>
      </c>
      <c r="W1607" s="45" t="str">
        <f>HYPERLINK("http://ictvonline.org/taxonomy/p/taxonomy-history?taxnode_id=201854191","ICTVonline=201854191")</f>
        <v>ICTVonline=201854191</v>
      </c>
      <c r="AA1607" s="1">
        <v>201850000</v>
      </c>
      <c r="AB1607" s="1">
        <v>34</v>
      </c>
    </row>
    <row r="1608" spans="1:28" x14ac:dyDescent="0.15">
      <c r="A1608" s="1">
        <v>4204</v>
      </c>
      <c r="B1608" s="1" t="s">
        <v>7159</v>
      </c>
      <c r="L1608" s="1" t="s">
        <v>1668</v>
      </c>
      <c r="P1608" s="1" t="s">
        <v>952</v>
      </c>
      <c r="Q1608" s="3">
        <v>0</v>
      </c>
      <c r="S1608" s="23" t="s">
        <v>5949</v>
      </c>
      <c r="T1608" s="23" t="s">
        <v>4931</v>
      </c>
      <c r="U1608" s="3">
        <v>34</v>
      </c>
      <c r="W1608" s="45" t="str">
        <f>HYPERLINK("http://ictvonline.org/taxonomy/p/taxonomy-history?taxnode_id=201854192","ICTVonline=201854192")</f>
        <v>ICTVonline=201854192</v>
      </c>
      <c r="AA1608" s="1">
        <v>201850000</v>
      </c>
      <c r="AB1608" s="1">
        <v>34</v>
      </c>
    </row>
    <row r="1609" spans="1:28" x14ac:dyDescent="0.15">
      <c r="A1609" s="1">
        <v>4206</v>
      </c>
      <c r="B1609" s="1" t="s">
        <v>7159</v>
      </c>
      <c r="L1609" s="1" t="s">
        <v>1668</v>
      </c>
      <c r="P1609" s="1" t="s">
        <v>956</v>
      </c>
      <c r="Q1609" s="3">
        <v>0</v>
      </c>
      <c r="S1609" s="23" t="s">
        <v>5949</v>
      </c>
      <c r="T1609" s="23" t="s">
        <v>4931</v>
      </c>
      <c r="U1609" s="3">
        <v>34</v>
      </c>
      <c r="W1609" s="45" t="str">
        <f>HYPERLINK("http://ictvonline.org/taxonomy/p/taxonomy-history?taxnode_id=201854193","ICTVonline=201854193")</f>
        <v>ICTVonline=201854193</v>
      </c>
      <c r="AA1609" s="1">
        <v>201850000</v>
      </c>
      <c r="AB1609" s="1">
        <v>34</v>
      </c>
    </row>
    <row r="1610" spans="1:28" x14ac:dyDescent="0.15">
      <c r="A1610" s="1">
        <v>4208</v>
      </c>
      <c r="B1610" s="1" t="s">
        <v>7159</v>
      </c>
      <c r="L1610" s="1" t="s">
        <v>1668</v>
      </c>
      <c r="P1610" s="1" t="s">
        <v>957</v>
      </c>
      <c r="Q1610" s="3">
        <v>0</v>
      </c>
      <c r="S1610" s="23" t="s">
        <v>5949</v>
      </c>
      <c r="T1610" s="23" t="s">
        <v>4931</v>
      </c>
      <c r="U1610" s="3">
        <v>34</v>
      </c>
      <c r="W1610" s="45" t="str">
        <f>HYPERLINK("http://ictvonline.org/taxonomy/p/taxonomy-history?taxnode_id=201854194","ICTVonline=201854194")</f>
        <v>ICTVonline=201854194</v>
      </c>
      <c r="AA1610" s="1">
        <v>201850000</v>
      </c>
      <c r="AB1610" s="1">
        <v>34</v>
      </c>
    </row>
    <row r="1611" spans="1:28" x14ac:dyDescent="0.15">
      <c r="A1611" s="1">
        <v>4210</v>
      </c>
      <c r="B1611" s="1" t="s">
        <v>7159</v>
      </c>
      <c r="L1611" s="1" t="s">
        <v>1668</v>
      </c>
      <c r="P1611" s="1" t="s">
        <v>615</v>
      </c>
      <c r="Q1611" s="3">
        <v>0</v>
      </c>
      <c r="S1611" s="23" t="s">
        <v>5949</v>
      </c>
      <c r="T1611" s="23" t="s">
        <v>4931</v>
      </c>
      <c r="U1611" s="3">
        <v>34</v>
      </c>
      <c r="W1611" s="45" t="str">
        <f>HYPERLINK("http://ictvonline.org/taxonomy/p/taxonomy-history?taxnode_id=201854195","ICTVonline=201854195")</f>
        <v>ICTVonline=201854195</v>
      </c>
      <c r="AA1611" s="1">
        <v>201850000</v>
      </c>
      <c r="AB1611" s="1">
        <v>34</v>
      </c>
    </row>
    <row r="1612" spans="1:28" x14ac:dyDescent="0.15">
      <c r="A1612" s="1">
        <v>4212</v>
      </c>
      <c r="B1612" s="1" t="s">
        <v>7159</v>
      </c>
      <c r="L1612" s="1" t="s">
        <v>1668</v>
      </c>
      <c r="P1612" s="1" t="s">
        <v>958</v>
      </c>
      <c r="Q1612" s="3">
        <v>0</v>
      </c>
      <c r="S1612" s="23" t="s">
        <v>5949</v>
      </c>
      <c r="T1612" s="23" t="s">
        <v>4931</v>
      </c>
      <c r="U1612" s="3">
        <v>34</v>
      </c>
      <c r="W1612" s="45" t="str">
        <f>HYPERLINK("http://ictvonline.org/taxonomy/p/taxonomy-history?taxnode_id=201854196","ICTVonline=201854196")</f>
        <v>ICTVonline=201854196</v>
      </c>
      <c r="AA1612" s="1">
        <v>201850000</v>
      </c>
      <c r="AB1612" s="1">
        <v>34</v>
      </c>
    </row>
    <row r="1613" spans="1:28" x14ac:dyDescent="0.15">
      <c r="A1613" s="1">
        <v>4214</v>
      </c>
      <c r="B1613" s="1" t="s">
        <v>7159</v>
      </c>
      <c r="L1613" s="1" t="s">
        <v>1668</v>
      </c>
      <c r="P1613" s="1" t="s">
        <v>959</v>
      </c>
      <c r="Q1613" s="3">
        <v>0</v>
      </c>
      <c r="S1613" s="23" t="s">
        <v>5949</v>
      </c>
      <c r="T1613" s="23" t="s">
        <v>4931</v>
      </c>
      <c r="U1613" s="3">
        <v>34</v>
      </c>
      <c r="W1613" s="45" t="str">
        <f>HYPERLINK("http://ictvonline.org/taxonomy/p/taxonomy-history?taxnode_id=201854197","ICTVonline=201854197")</f>
        <v>ICTVonline=201854197</v>
      </c>
      <c r="AA1613" s="1">
        <v>201850000</v>
      </c>
      <c r="AB1613" s="1">
        <v>34</v>
      </c>
    </row>
    <row r="1614" spans="1:28" x14ac:dyDescent="0.15">
      <c r="A1614" s="1">
        <v>4216</v>
      </c>
      <c r="B1614" s="1" t="s">
        <v>7159</v>
      </c>
      <c r="L1614" s="1" t="s">
        <v>1668</v>
      </c>
      <c r="P1614" s="1" t="s">
        <v>5494</v>
      </c>
      <c r="Q1614" s="3">
        <v>0</v>
      </c>
      <c r="S1614" s="23" t="s">
        <v>5949</v>
      </c>
      <c r="T1614" s="23" t="s">
        <v>4931</v>
      </c>
      <c r="U1614" s="3">
        <v>34</v>
      </c>
      <c r="W1614" s="45" t="str">
        <f>HYPERLINK("http://ictvonline.org/taxonomy/p/taxonomy-history?taxnode_id=201854198","ICTVonline=201854198")</f>
        <v>ICTVonline=201854198</v>
      </c>
      <c r="AA1614" s="1">
        <v>201850000</v>
      </c>
      <c r="AB1614" s="1">
        <v>34</v>
      </c>
    </row>
    <row r="1615" spans="1:28" x14ac:dyDescent="0.15">
      <c r="A1615" s="1">
        <v>4218</v>
      </c>
      <c r="B1615" s="1" t="s">
        <v>7159</v>
      </c>
      <c r="L1615" s="1" t="s">
        <v>1668</v>
      </c>
      <c r="P1615" s="1" t="s">
        <v>5495</v>
      </c>
      <c r="Q1615" s="3">
        <v>0</v>
      </c>
      <c r="S1615" s="23" t="s">
        <v>5949</v>
      </c>
      <c r="T1615" s="23" t="s">
        <v>4931</v>
      </c>
      <c r="U1615" s="3">
        <v>34</v>
      </c>
      <c r="W1615" s="45" t="str">
        <f>HYPERLINK("http://ictvonline.org/taxonomy/p/taxonomy-history?taxnode_id=201854199","ICTVonline=201854199")</f>
        <v>ICTVonline=201854199</v>
      </c>
      <c r="AA1615" s="1">
        <v>201850000</v>
      </c>
      <c r="AB1615" s="1">
        <v>34</v>
      </c>
    </row>
    <row r="1616" spans="1:28" x14ac:dyDescent="0.15">
      <c r="A1616" s="1">
        <v>4220</v>
      </c>
      <c r="B1616" s="1" t="s">
        <v>7159</v>
      </c>
      <c r="L1616" s="1" t="s">
        <v>1668</v>
      </c>
      <c r="P1616" s="1" t="s">
        <v>877</v>
      </c>
      <c r="Q1616" s="3">
        <v>0</v>
      </c>
      <c r="S1616" s="23" t="s">
        <v>5949</v>
      </c>
      <c r="T1616" s="23" t="s">
        <v>4931</v>
      </c>
      <c r="U1616" s="3">
        <v>34</v>
      </c>
      <c r="W1616" s="45" t="str">
        <f>HYPERLINK("http://ictvonline.org/taxonomy/p/taxonomy-history?taxnode_id=201854200","ICTVonline=201854200")</f>
        <v>ICTVonline=201854200</v>
      </c>
      <c r="AA1616" s="1">
        <v>201850000</v>
      </c>
      <c r="AB1616" s="1">
        <v>34</v>
      </c>
    </row>
    <row r="1617" spans="1:28" x14ac:dyDescent="0.15">
      <c r="A1617" s="1">
        <v>4222</v>
      </c>
      <c r="B1617" s="1" t="s">
        <v>7159</v>
      </c>
      <c r="L1617" s="1" t="s">
        <v>1668</v>
      </c>
      <c r="P1617" s="1" t="s">
        <v>878</v>
      </c>
      <c r="Q1617" s="3">
        <v>0</v>
      </c>
      <c r="S1617" s="23" t="s">
        <v>5949</v>
      </c>
      <c r="T1617" s="23" t="s">
        <v>4931</v>
      </c>
      <c r="U1617" s="3">
        <v>34</v>
      </c>
      <c r="W1617" s="45" t="str">
        <f>HYPERLINK("http://ictvonline.org/taxonomy/p/taxonomy-history?taxnode_id=201854201","ICTVonline=201854201")</f>
        <v>ICTVonline=201854201</v>
      </c>
      <c r="AA1617" s="1">
        <v>201850000</v>
      </c>
      <c r="AB1617" s="1">
        <v>34</v>
      </c>
    </row>
    <row r="1618" spans="1:28" x14ac:dyDescent="0.15">
      <c r="A1618" s="1">
        <v>4224</v>
      </c>
      <c r="B1618" s="1" t="s">
        <v>7159</v>
      </c>
      <c r="L1618" s="1" t="s">
        <v>1668</v>
      </c>
      <c r="P1618" s="1" t="s">
        <v>879</v>
      </c>
      <c r="Q1618" s="3">
        <v>0</v>
      </c>
      <c r="S1618" s="23" t="s">
        <v>5949</v>
      </c>
      <c r="T1618" s="23" t="s">
        <v>4931</v>
      </c>
      <c r="U1618" s="3">
        <v>34</v>
      </c>
      <c r="W1618" s="45" t="str">
        <f>HYPERLINK("http://ictvonline.org/taxonomy/p/taxonomy-history?taxnode_id=201854202","ICTVonline=201854202")</f>
        <v>ICTVonline=201854202</v>
      </c>
      <c r="AA1618" s="1">
        <v>201850000</v>
      </c>
      <c r="AB1618" s="1">
        <v>34</v>
      </c>
    </row>
    <row r="1619" spans="1:28" x14ac:dyDescent="0.15">
      <c r="A1619" s="1">
        <v>4226</v>
      </c>
      <c r="B1619" s="1" t="s">
        <v>7159</v>
      </c>
      <c r="L1619" s="1" t="s">
        <v>1668</v>
      </c>
      <c r="P1619" s="1" t="s">
        <v>880</v>
      </c>
      <c r="Q1619" s="3">
        <v>0</v>
      </c>
      <c r="S1619" s="23" t="s">
        <v>5949</v>
      </c>
      <c r="T1619" s="23" t="s">
        <v>4931</v>
      </c>
      <c r="U1619" s="3">
        <v>34</v>
      </c>
      <c r="W1619" s="45" t="str">
        <f>HYPERLINK("http://ictvonline.org/taxonomy/p/taxonomy-history?taxnode_id=201854203","ICTVonline=201854203")</f>
        <v>ICTVonline=201854203</v>
      </c>
      <c r="AA1619" s="1">
        <v>201850000</v>
      </c>
      <c r="AB1619" s="1">
        <v>34</v>
      </c>
    </row>
    <row r="1620" spans="1:28" x14ac:dyDescent="0.15">
      <c r="A1620" s="1">
        <v>4228</v>
      </c>
      <c r="B1620" s="1" t="s">
        <v>7159</v>
      </c>
      <c r="L1620" s="1" t="s">
        <v>1668</v>
      </c>
      <c r="P1620" s="1" t="s">
        <v>881</v>
      </c>
      <c r="Q1620" s="3">
        <v>0</v>
      </c>
      <c r="S1620" s="23" t="s">
        <v>5949</v>
      </c>
      <c r="T1620" s="23" t="s">
        <v>4931</v>
      </c>
      <c r="U1620" s="3">
        <v>34</v>
      </c>
      <c r="W1620" s="45" t="str">
        <f>HYPERLINK("http://ictvonline.org/taxonomy/p/taxonomy-history?taxnode_id=201854204","ICTVonline=201854204")</f>
        <v>ICTVonline=201854204</v>
      </c>
      <c r="AA1620" s="1">
        <v>201850000</v>
      </c>
      <c r="AB1620" s="1">
        <v>34</v>
      </c>
    </row>
    <row r="1621" spans="1:28" x14ac:dyDescent="0.15">
      <c r="A1621" s="1">
        <v>4230</v>
      </c>
      <c r="B1621" s="1" t="s">
        <v>7159</v>
      </c>
      <c r="L1621" s="1" t="s">
        <v>1668</v>
      </c>
      <c r="P1621" s="1" t="s">
        <v>884</v>
      </c>
      <c r="Q1621" s="3">
        <v>0</v>
      </c>
      <c r="S1621" s="23" t="s">
        <v>5949</v>
      </c>
      <c r="T1621" s="23" t="s">
        <v>4931</v>
      </c>
      <c r="U1621" s="3">
        <v>34</v>
      </c>
      <c r="W1621" s="45" t="str">
        <f>HYPERLINK("http://ictvonline.org/taxonomy/p/taxonomy-history?taxnode_id=201854205","ICTVonline=201854205")</f>
        <v>ICTVonline=201854205</v>
      </c>
      <c r="AA1621" s="1">
        <v>201850000</v>
      </c>
      <c r="AB1621" s="1">
        <v>34</v>
      </c>
    </row>
    <row r="1622" spans="1:28" x14ac:dyDescent="0.15">
      <c r="A1622" s="1">
        <v>4235</v>
      </c>
      <c r="B1622" s="1" t="s">
        <v>7159</v>
      </c>
      <c r="L1622" s="1" t="s">
        <v>189</v>
      </c>
      <c r="N1622" s="1" t="s">
        <v>190</v>
      </c>
      <c r="P1622" s="1" t="s">
        <v>1856</v>
      </c>
      <c r="Q1622" s="3">
        <v>0</v>
      </c>
      <c r="S1622" s="23" t="s">
        <v>5949</v>
      </c>
      <c r="T1622" s="23" t="s">
        <v>4931</v>
      </c>
      <c r="U1622" s="3">
        <v>34</v>
      </c>
      <c r="W1622" s="45" t="str">
        <f>HYPERLINK("http://ictvonline.org/taxonomy/p/taxonomy-history?taxnode_id=201854288","ICTVonline=201854288")</f>
        <v>ICTVonline=201854288</v>
      </c>
      <c r="AA1622" s="1">
        <v>201850000</v>
      </c>
      <c r="AB1622" s="1">
        <v>34</v>
      </c>
    </row>
    <row r="1623" spans="1:28" x14ac:dyDescent="0.15">
      <c r="A1623" s="1">
        <v>4237</v>
      </c>
      <c r="B1623" s="1" t="s">
        <v>7159</v>
      </c>
      <c r="L1623" s="1" t="s">
        <v>189</v>
      </c>
      <c r="N1623" s="1" t="s">
        <v>190</v>
      </c>
      <c r="P1623" s="1" t="s">
        <v>1860</v>
      </c>
      <c r="Q1623" s="3">
        <v>1</v>
      </c>
      <c r="S1623" s="23" t="s">
        <v>5949</v>
      </c>
      <c r="T1623" s="23" t="s">
        <v>4931</v>
      </c>
      <c r="U1623" s="3">
        <v>34</v>
      </c>
      <c r="W1623" s="45" t="str">
        <f>HYPERLINK("http://ictvonline.org/taxonomy/p/taxonomy-history?taxnode_id=201854289","ICTVonline=201854289")</f>
        <v>ICTVonline=201854289</v>
      </c>
      <c r="AA1623" s="1">
        <v>201850000</v>
      </c>
      <c r="AB1623" s="1">
        <v>34</v>
      </c>
    </row>
    <row r="1624" spans="1:28" x14ac:dyDescent="0.15">
      <c r="A1624" s="1">
        <v>4243</v>
      </c>
      <c r="B1624" s="1" t="s">
        <v>7159</v>
      </c>
      <c r="L1624" s="1" t="s">
        <v>865</v>
      </c>
      <c r="N1624" s="1" t="s">
        <v>866</v>
      </c>
      <c r="P1624" s="1" t="s">
        <v>867</v>
      </c>
      <c r="Q1624" s="3">
        <v>1</v>
      </c>
      <c r="S1624" s="23" t="s">
        <v>5949</v>
      </c>
      <c r="T1624" s="23" t="s">
        <v>4931</v>
      </c>
      <c r="U1624" s="3">
        <v>34</v>
      </c>
      <c r="W1624" s="45" t="str">
        <f>HYPERLINK("http://ictvonline.org/taxonomy/p/taxonomy-history?taxnode_id=201854334","ICTVonline=201854334")</f>
        <v>ICTVonline=201854334</v>
      </c>
      <c r="AA1624" s="1">
        <v>201850000</v>
      </c>
      <c r="AB1624" s="1">
        <v>34</v>
      </c>
    </row>
    <row r="1625" spans="1:28" x14ac:dyDescent="0.15">
      <c r="A1625" s="1">
        <v>4245</v>
      </c>
      <c r="B1625" s="1" t="s">
        <v>7159</v>
      </c>
      <c r="L1625" s="1" t="s">
        <v>865</v>
      </c>
      <c r="N1625" s="1" t="s">
        <v>866</v>
      </c>
      <c r="P1625" s="1" t="s">
        <v>868</v>
      </c>
      <c r="Q1625" s="3">
        <v>0</v>
      </c>
      <c r="S1625" s="23" t="s">
        <v>5949</v>
      </c>
      <c r="T1625" s="23" t="s">
        <v>4931</v>
      </c>
      <c r="U1625" s="3">
        <v>34</v>
      </c>
      <c r="W1625" s="45" t="str">
        <f>HYPERLINK("http://ictvonline.org/taxonomy/p/taxonomy-history?taxnode_id=201854335","ICTVonline=201854335")</f>
        <v>ICTVonline=201854335</v>
      </c>
      <c r="AA1625" s="1">
        <v>201850000</v>
      </c>
      <c r="AB1625" s="1">
        <v>34</v>
      </c>
    </row>
    <row r="1626" spans="1:28" x14ac:dyDescent="0.15">
      <c r="A1626" s="1">
        <v>4251</v>
      </c>
      <c r="B1626" s="1" t="s">
        <v>7159</v>
      </c>
      <c r="L1626" s="1" t="s">
        <v>2041</v>
      </c>
      <c r="N1626" s="1" t="s">
        <v>2042</v>
      </c>
      <c r="P1626" s="1" t="s">
        <v>2043</v>
      </c>
      <c r="Q1626" s="3">
        <v>0</v>
      </c>
      <c r="S1626" s="23" t="s">
        <v>5949</v>
      </c>
      <c r="T1626" s="23" t="s">
        <v>4931</v>
      </c>
      <c r="U1626" s="3">
        <v>34</v>
      </c>
      <c r="W1626" s="45" t="str">
        <f>HYPERLINK("http://ictvonline.org/taxonomy/p/taxonomy-history?taxnode_id=201854499","ICTVonline=201854499")</f>
        <v>ICTVonline=201854499</v>
      </c>
      <c r="AA1626" s="1">
        <v>201850000</v>
      </c>
      <c r="AB1626" s="1">
        <v>34</v>
      </c>
    </row>
    <row r="1627" spans="1:28" x14ac:dyDescent="0.15">
      <c r="A1627" s="1">
        <v>4253</v>
      </c>
      <c r="B1627" s="1" t="s">
        <v>7159</v>
      </c>
      <c r="L1627" s="1" t="s">
        <v>2041</v>
      </c>
      <c r="N1627" s="1" t="s">
        <v>2042</v>
      </c>
      <c r="P1627" s="1" t="s">
        <v>2044</v>
      </c>
      <c r="Q1627" s="3">
        <v>1</v>
      </c>
      <c r="S1627" s="23" t="s">
        <v>5949</v>
      </c>
      <c r="T1627" s="23" t="s">
        <v>4931</v>
      </c>
      <c r="U1627" s="3">
        <v>34</v>
      </c>
      <c r="W1627" s="45" t="str">
        <f>HYPERLINK("http://ictvonline.org/taxonomy/p/taxonomy-history?taxnode_id=201854500","ICTVonline=201854500")</f>
        <v>ICTVonline=201854500</v>
      </c>
      <c r="AA1627" s="1">
        <v>201850000</v>
      </c>
      <c r="AB1627" s="1">
        <v>34</v>
      </c>
    </row>
    <row r="1628" spans="1:28" x14ac:dyDescent="0.15">
      <c r="A1628" s="1">
        <v>4255</v>
      </c>
      <c r="B1628" s="1" t="s">
        <v>7159</v>
      </c>
      <c r="L1628" s="1" t="s">
        <v>2041</v>
      </c>
      <c r="N1628" s="1" t="s">
        <v>2042</v>
      </c>
      <c r="P1628" s="1" t="s">
        <v>2045</v>
      </c>
      <c r="Q1628" s="3">
        <v>0</v>
      </c>
      <c r="S1628" s="23" t="s">
        <v>5949</v>
      </c>
      <c r="T1628" s="23" t="s">
        <v>4931</v>
      </c>
      <c r="U1628" s="3">
        <v>34</v>
      </c>
      <c r="W1628" s="45" t="str">
        <f>HYPERLINK("http://ictvonline.org/taxonomy/p/taxonomy-history?taxnode_id=201854501","ICTVonline=201854501")</f>
        <v>ICTVonline=201854501</v>
      </c>
      <c r="AA1628" s="1">
        <v>201850000</v>
      </c>
      <c r="AB1628" s="1">
        <v>34</v>
      </c>
    </row>
    <row r="1629" spans="1:28" x14ac:dyDescent="0.15">
      <c r="A1629" s="1">
        <v>4257</v>
      </c>
      <c r="B1629" s="1" t="s">
        <v>7159</v>
      </c>
      <c r="L1629" s="1" t="s">
        <v>2041</v>
      </c>
      <c r="N1629" s="1" t="s">
        <v>2042</v>
      </c>
      <c r="P1629" s="1" t="s">
        <v>2046</v>
      </c>
      <c r="Q1629" s="3">
        <v>0</v>
      </c>
      <c r="S1629" s="23" t="s">
        <v>5949</v>
      </c>
      <c r="T1629" s="23" t="s">
        <v>4931</v>
      </c>
      <c r="U1629" s="3">
        <v>34</v>
      </c>
      <c r="W1629" s="45" t="str">
        <f>HYPERLINK("http://ictvonline.org/taxonomy/p/taxonomy-history?taxnode_id=201854502","ICTVonline=201854502")</f>
        <v>ICTVonline=201854502</v>
      </c>
      <c r="AA1629" s="1">
        <v>201850000</v>
      </c>
      <c r="AB1629" s="1">
        <v>34</v>
      </c>
    </row>
    <row r="1630" spans="1:28" x14ac:dyDescent="0.15">
      <c r="A1630" s="1">
        <v>4259</v>
      </c>
      <c r="B1630" s="1" t="s">
        <v>7159</v>
      </c>
      <c r="L1630" s="1" t="s">
        <v>2041</v>
      </c>
      <c r="N1630" s="1" t="s">
        <v>2042</v>
      </c>
      <c r="P1630" s="1" t="s">
        <v>2047</v>
      </c>
      <c r="Q1630" s="3">
        <v>0</v>
      </c>
      <c r="S1630" s="23" t="s">
        <v>5949</v>
      </c>
      <c r="T1630" s="23" t="s">
        <v>4931</v>
      </c>
      <c r="U1630" s="3">
        <v>34</v>
      </c>
      <c r="W1630" s="45" t="str">
        <f>HYPERLINK("http://ictvonline.org/taxonomy/p/taxonomy-history?taxnode_id=201854503","ICTVonline=201854503")</f>
        <v>ICTVonline=201854503</v>
      </c>
      <c r="AA1630" s="1">
        <v>201850000</v>
      </c>
      <c r="AB1630" s="1">
        <v>34</v>
      </c>
    </row>
    <row r="1631" spans="1:28" x14ac:dyDescent="0.15">
      <c r="A1631" s="1">
        <v>4261</v>
      </c>
      <c r="B1631" s="1" t="s">
        <v>7159</v>
      </c>
      <c r="L1631" s="1" t="s">
        <v>2041</v>
      </c>
      <c r="N1631" s="1" t="s">
        <v>2042</v>
      </c>
      <c r="P1631" s="1" t="s">
        <v>2146</v>
      </c>
      <c r="Q1631" s="3">
        <v>0</v>
      </c>
      <c r="S1631" s="23" t="s">
        <v>5949</v>
      </c>
      <c r="T1631" s="23" t="s">
        <v>4931</v>
      </c>
      <c r="U1631" s="3">
        <v>34</v>
      </c>
      <c r="W1631" s="45" t="str">
        <f>HYPERLINK("http://ictvonline.org/taxonomy/p/taxonomy-history?taxnode_id=201854504","ICTVonline=201854504")</f>
        <v>ICTVonline=201854504</v>
      </c>
      <c r="AA1631" s="1">
        <v>201850000</v>
      </c>
      <c r="AB1631" s="1">
        <v>34</v>
      </c>
    </row>
    <row r="1632" spans="1:28" x14ac:dyDescent="0.15">
      <c r="A1632" s="1">
        <v>4263</v>
      </c>
      <c r="B1632" s="1" t="s">
        <v>7159</v>
      </c>
      <c r="L1632" s="1" t="s">
        <v>2041</v>
      </c>
      <c r="N1632" s="1" t="s">
        <v>2042</v>
      </c>
      <c r="P1632" s="1" t="s">
        <v>2147</v>
      </c>
      <c r="Q1632" s="3">
        <v>0</v>
      </c>
      <c r="S1632" s="23" t="s">
        <v>5949</v>
      </c>
      <c r="T1632" s="23" t="s">
        <v>4931</v>
      </c>
      <c r="U1632" s="3">
        <v>34</v>
      </c>
      <c r="W1632" s="45" t="str">
        <f>HYPERLINK("http://ictvonline.org/taxonomy/p/taxonomy-history?taxnode_id=201854505","ICTVonline=201854505")</f>
        <v>ICTVonline=201854505</v>
      </c>
      <c r="AA1632" s="1">
        <v>201850000</v>
      </c>
      <c r="AB1632" s="1">
        <v>34</v>
      </c>
    </row>
    <row r="1633" spans="1:28" x14ac:dyDescent="0.15">
      <c r="A1633" s="1">
        <v>4265</v>
      </c>
      <c r="B1633" s="1" t="s">
        <v>7159</v>
      </c>
      <c r="L1633" s="1" t="s">
        <v>2041</v>
      </c>
      <c r="N1633" s="1" t="s">
        <v>2042</v>
      </c>
      <c r="P1633" s="1" t="s">
        <v>2048</v>
      </c>
      <c r="Q1633" s="3">
        <v>0</v>
      </c>
      <c r="S1633" s="23" t="s">
        <v>5949</v>
      </c>
      <c r="T1633" s="23" t="s">
        <v>4931</v>
      </c>
      <c r="U1633" s="3">
        <v>34</v>
      </c>
      <c r="W1633" s="45" t="str">
        <f>HYPERLINK("http://ictvonline.org/taxonomy/p/taxonomy-history?taxnode_id=201854506","ICTVonline=201854506")</f>
        <v>ICTVonline=201854506</v>
      </c>
      <c r="AA1633" s="1">
        <v>201850000</v>
      </c>
      <c r="AB1633" s="1">
        <v>34</v>
      </c>
    </row>
    <row r="1634" spans="1:28" x14ac:dyDescent="0.15">
      <c r="A1634" s="1">
        <v>4267</v>
      </c>
      <c r="B1634" s="1" t="s">
        <v>7159</v>
      </c>
      <c r="L1634" s="1" t="s">
        <v>2041</v>
      </c>
      <c r="N1634" s="1" t="s">
        <v>2042</v>
      </c>
      <c r="P1634" s="1" t="s">
        <v>2049</v>
      </c>
      <c r="Q1634" s="3">
        <v>0</v>
      </c>
      <c r="S1634" s="23" t="s">
        <v>5949</v>
      </c>
      <c r="T1634" s="23" t="s">
        <v>4931</v>
      </c>
      <c r="U1634" s="3">
        <v>34</v>
      </c>
      <c r="W1634" s="45" t="str">
        <f>HYPERLINK("http://ictvonline.org/taxonomy/p/taxonomy-history?taxnode_id=201854507","ICTVonline=201854507")</f>
        <v>ICTVonline=201854507</v>
      </c>
      <c r="AA1634" s="1">
        <v>201850000</v>
      </c>
      <c r="AB1634" s="1">
        <v>34</v>
      </c>
    </row>
    <row r="1635" spans="1:28" x14ac:dyDescent="0.15">
      <c r="A1635" s="1">
        <v>4269</v>
      </c>
      <c r="B1635" s="1" t="s">
        <v>7159</v>
      </c>
      <c r="L1635" s="1" t="s">
        <v>2041</v>
      </c>
      <c r="N1635" s="1" t="s">
        <v>2042</v>
      </c>
      <c r="P1635" s="1" t="s">
        <v>2050</v>
      </c>
      <c r="Q1635" s="3">
        <v>0</v>
      </c>
      <c r="S1635" s="23" t="s">
        <v>5949</v>
      </c>
      <c r="T1635" s="23" t="s">
        <v>4931</v>
      </c>
      <c r="U1635" s="3">
        <v>34</v>
      </c>
      <c r="W1635" s="45" t="str">
        <f>HYPERLINK("http://ictvonline.org/taxonomy/p/taxonomy-history?taxnode_id=201854508","ICTVonline=201854508")</f>
        <v>ICTVonline=201854508</v>
      </c>
      <c r="AA1635" s="1">
        <v>201850000</v>
      </c>
      <c r="AB1635" s="1">
        <v>34</v>
      </c>
    </row>
    <row r="1636" spans="1:28" x14ac:dyDescent="0.15">
      <c r="A1636" s="1">
        <v>4273</v>
      </c>
      <c r="B1636" s="1" t="s">
        <v>7159</v>
      </c>
      <c r="L1636" s="1" t="s">
        <v>2041</v>
      </c>
      <c r="N1636" s="1" t="s">
        <v>2051</v>
      </c>
      <c r="P1636" s="1" t="s">
        <v>2052</v>
      </c>
      <c r="Q1636" s="3">
        <v>0</v>
      </c>
      <c r="S1636" s="23" t="s">
        <v>5949</v>
      </c>
      <c r="T1636" s="23" t="s">
        <v>4931</v>
      </c>
      <c r="U1636" s="3">
        <v>34</v>
      </c>
      <c r="W1636" s="45" t="str">
        <f>HYPERLINK("http://ictvonline.org/taxonomy/p/taxonomy-history?taxnode_id=201854510","ICTVonline=201854510")</f>
        <v>ICTVonline=201854510</v>
      </c>
      <c r="AA1636" s="1">
        <v>201850000</v>
      </c>
      <c r="AB1636" s="1">
        <v>34</v>
      </c>
    </row>
    <row r="1637" spans="1:28" x14ac:dyDescent="0.15">
      <c r="A1637" s="1">
        <v>4275</v>
      </c>
      <c r="B1637" s="1" t="s">
        <v>7159</v>
      </c>
      <c r="L1637" s="1" t="s">
        <v>2041</v>
      </c>
      <c r="N1637" s="1" t="s">
        <v>2051</v>
      </c>
      <c r="P1637" s="1" t="s">
        <v>2053</v>
      </c>
      <c r="Q1637" s="3">
        <v>1</v>
      </c>
      <c r="S1637" s="23" t="s">
        <v>5949</v>
      </c>
      <c r="T1637" s="23" t="s">
        <v>4931</v>
      </c>
      <c r="U1637" s="3">
        <v>34</v>
      </c>
      <c r="W1637" s="45" t="str">
        <f>HYPERLINK("http://ictvonline.org/taxonomy/p/taxonomy-history?taxnode_id=201854511","ICTVonline=201854511")</f>
        <v>ICTVonline=201854511</v>
      </c>
      <c r="AA1637" s="1">
        <v>201850000</v>
      </c>
      <c r="AB1637" s="1">
        <v>34</v>
      </c>
    </row>
    <row r="1638" spans="1:28" x14ac:dyDescent="0.15">
      <c r="A1638" s="1">
        <v>4277</v>
      </c>
      <c r="B1638" s="1" t="s">
        <v>7159</v>
      </c>
      <c r="L1638" s="1" t="s">
        <v>2041</v>
      </c>
      <c r="N1638" s="1" t="s">
        <v>2051</v>
      </c>
      <c r="P1638" s="1" t="s">
        <v>2054</v>
      </c>
      <c r="Q1638" s="3">
        <v>0</v>
      </c>
      <c r="S1638" s="23" t="s">
        <v>5949</v>
      </c>
      <c r="T1638" s="23" t="s">
        <v>4931</v>
      </c>
      <c r="U1638" s="3">
        <v>34</v>
      </c>
      <c r="W1638" s="45" t="str">
        <f>HYPERLINK("http://ictvonline.org/taxonomy/p/taxonomy-history?taxnode_id=201854512","ICTVonline=201854512")</f>
        <v>ICTVonline=201854512</v>
      </c>
      <c r="AA1638" s="1">
        <v>201850000</v>
      </c>
      <c r="AB1638" s="1">
        <v>34</v>
      </c>
    </row>
    <row r="1639" spans="1:28" x14ac:dyDescent="0.15">
      <c r="A1639" s="1">
        <v>4279</v>
      </c>
      <c r="B1639" s="1" t="s">
        <v>7159</v>
      </c>
      <c r="L1639" s="1" t="s">
        <v>2041</v>
      </c>
      <c r="N1639" s="1" t="s">
        <v>2051</v>
      </c>
      <c r="P1639" s="1" t="s">
        <v>2055</v>
      </c>
      <c r="Q1639" s="3">
        <v>0</v>
      </c>
      <c r="S1639" s="23" t="s">
        <v>5949</v>
      </c>
      <c r="T1639" s="23" t="s">
        <v>4931</v>
      </c>
      <c r="U1639" s="3">
        <v>34</v>
      </c>
      <c r="W1639" s="45" t="str">
        <f>HYPERLINK("http://ictvonline.org/taxonomy/p/taxonomy-history?taxnode_id=201854513","ICTVonline=201854513")</f>
        <v>ICTVonline=201854513</v>
      </c>
      <c r="AA1639" s="1">
        <v>201850000</v>
      </c>
      <c r="AB1639" s="1">
        <v>34</v>
      </c>
    </row>
    <row r="1640" spans="1:28" x14ac:dyDescent="0.15">
      <c r="A1640" s="1">
        <v>4283</v>
      </c>
      <c r="B1640" s="1" t="s">
        <v>7159</v>
      </c>
      <c r="L1640" s="1" t="s">
        <v>2041</v>
      </c>
      <c r="N1640" s="1" t="s">
        <v>467</v>
      </c>
      <c r="P1640" s="1" t="s">
        <v>468</v>
      </c>
      <c r="Q1640" s="3">
        <v>1</v>
      </c>
      <c r="S1640" s="23" t="s">
        <v>5949</v>
      </c>
      <c r="T1640" s="23" t="s">
        <v>4931</v>
      </c>
      <c r="U1640" s="3">
        <v>34</v>
      </c>
      <c r="W1640" s="45" t="str">
        <f>HYPERLINK("http://ictvonline.org/taxonomy/p/taxonomy-history?taxnode_id=201854515","ICTVonline=201854515")</f>
        <v>ICTVonline=201854515</v>
      </c>
      <c r="AA1640" s="1">
        <v>201850000</v>
      </c>
      <c r="AB1640" s="1">
        <v>34</v>
      </c>
    </row>
    <row r="1641" spans="1:28" x14ac:dyDescent="0.15">
      <c r="A1641" s="1">
        <v>4285</v>
      </c>
      <c r="B1641" s="1" t="s">
        <v>7159</v>
      </c>
      <c r="L1641" s="1" t="s">
        <v>2041</v>
      </c>
      <c r="N1641" s="1" t="s">
        <v>467</v>
      </c>
      <c r="P1641" s="1" t="s">
        <v>469</v>
      </c>
      <c r="Q1641" s="3">
        <v>0</v>
      </c>
      <c r="S1641" s="23" t="s">
        <v>5949</v>
      </c>
      <c r="T1641" s="23" t="s">
        <v>4931</v>
      </c>
      <c r="U1641" s="3">
        <v>34</v>
      </c>
      <c r="W1641" s="45" t="str">
        <f>HYPERLINK("http://ictvonline.org/taxonomy/p/taxonomy-history?taxnode_id=201854516","ICTVonline=201854516")</f>
        <v>ICTVonline=201854516</v>
      </c>
      <c r="AA1641" s="1">
        <v>201850000</v>
      </c>
      <c r="AB1641" s="1">
        <v>34</v>
      </c>
    </row>
    <row r="1642" spans="1:28" x14ac:dyDescent="0.15">
      <c r="A1642" s="1">
        <v>4287</v>
      </c>
      <c r="B1642" s="1" t="s">
        <v>7159</v>
      </c>
      <c r="L1642" s="1" t="s">
        <v>2041</v>
      </c>
      <c r="N1642" s="1" t="s">
        <v>467</v>
      </c>
      <c r="P1642" s="1" t="s">
        <v>470</v>
      </c>
      <c r="Q1642" s="3">
        <v>0</v>
      </c>
      <c r="S1642" s="23" t="s">
        <v>5949</v>
      </c>
      <c r="T1642" s="23" t="s">
        <v>4931</v>
      </c>
      <c r="U1642" s="3">
        <v>34</v>
      </c>
      <c r="W1642" s="45" t="str">
        <f>HYPERLINK("http://ictvonline.org/taxonomy/p/taxonomy-history?taxnode_id=201854517","ICTVonline=201854517")</f>
        <v>ICTVonline=201854517</v>
      </c>
      <c r="AA1642" s="1">
        <v>201850000</v>
      </c>
      <c r="AB1642" s="1">
        <v>34</v>
      </c>
    </row>
    <row r="1643" spans="1:28" x14ac:dyDescent="0.15">
      <c r="A1643" s="1">
        <v>4291</v>
      </c>
      <c r="B1643" s="1" t="s">
        <v>7159</v>
      </c>
      <c r="L1643" s="1" t="s">
        <v>2041</v>
      </c>
      <c r="N1643" s="1" t="s">
        <v>471</v>
      </c>
      <c r="P1643" s="1" t="s">
        <v>2695</v>
      </c>
      <c r="Q1643" s="3">
        <v>0</v>
      </c>
      <c r="S1643" s="23" t="s">
        <v>5949</v>
      </c>
      <c r="T1643" s="23" t="s">
        <v>4931</v>
      </c>
      <c r="U1643" s="3">
        <v>34</v>
      </c>
      <c r="W1643" s="45" t="str">
        <f>HYPERLINK("http://ictvonline.org/taxonomy/p/taxonomy-history?taxnode_id=201854519","ICTVonline=201854519")</f>
        <v>ICTVonline=201854519</v>
      </c>
      <c r="AA1643" s="1">
        <v>201850000</v>
      </c>
      <c r="AB1643" s="1">
        <v>34</v>
      </c>
    </row>
    <row r="1644" spans="1:28" x14ac:dyDescent="0.15">
      <c r="A1644" s="1">
        <v>4293</v>
      </c>
      <c r="B1644" s="1" t="s">
        <v>7159</v>
      </c>
      <c r="L1644" s="1" t="s">
        <v>2041</v>
      </c>
      <c r="N1644" s="1" t="s">
        <v>471</v>
      </c>
      <c r="P1644" s="1" t="s">
        <v>472</v>
      </c>
      <c r="Q1644" s="3">
        <v>1</v>
      </c>
      <c r="S1644" s="23" t="s">
        <v>5949</v>
      </c>
      <c r="T1644" s="23" t="s">
        <v>4931</v>
      </c>
      <c r="U1644" s="3">
        <v>34</v>
      </c>
      <c r="W1644" s="45" t="str">
        <f>HYPERLINK("http://ictvonline.org/taxonomy/p/taxonomy-history?taxnode_id=201854520","ICTVonline=201854520")</f>
        <v>ICTVonline=201854520</v>
      </c>
      <c r="AA1644" s="1">
        <v>201850000</v>
      </c>
      <c r="AB1644" s="1">
        <v>34</v>
      </c>
    </row>
    <row r="1645" spans="1:28" x14ac:dyDescent="0.15">
      <c r="A1645" s="1">
        <v>4297</v>
      </c>
      <c r="B1645" s="1" t="s">
        <v>7159</v>
      </c>
      <c r="L1645" s="1" t="s">
        <v>2041</v>
      </c>
      <c r="N1645" s="1" t="s">
        <v>473</v>
      </c>
      <c r="P1645" s="1" t="s">
        <v>474</v>
      </c>
      <c r="Q1645" s="3">
        <v>0</v>
      </c>
      <c r="S1645" s="23" t="s">
        <v>5949</v>
      </c>
      <c r="T1645" s="23" t="s">
        <v>4931</v>
      </c>
      <c r="U1645" s="3">
        <v>34</v>
      </c>
      <c r="W1645" s="45" t="str">
        <f>HYPERLINK("http://ictvonline.org/taxonomy/p/taxonomy-history?taxnode_id=201854522","ICTVonline=201854522")</f>
        <v>ICTVonline=201854522</v>
      </c>
      <c r="AA1645" s="1">
        <v>201850000</v>
      </c>
      <c r="AB1645" s="1">
        <v>34</v>
      </c>
    </row>
    <row r="1646" spans="1:28" x14ac:dyDescent="0.15">
      <c r="A1646" s="1">
        <v>4299</v>
      </c>
      <c r="B1646" s="1" t="s">
        <v>7159</v>
      </c>
      <c r="L1646" s="1" t="s">
        <v>2041</v>
      </c>
      <c r="N1646" s="1" t="s">
        <v>473</v>
      </c>
      <c r="P1646" s="1" t="s">
        <v>475</v>
      </c>
      <c r="Q1646" s="3">
        <v>0</v>
      </c>
      <c r="S1646" s="23" t="s">
        <v>5949</v>
      </c>
      <c r="T1646" s="23" t="s">
        <v>4931</v>
      </c>
      <c r="U1646" s="3">
        <v>34</v>
      </c>
      <c r="W1646" s="45" t="str">
        <f>HYPERLINK("http://ictvonline.org/taxonomy/p/taxonomy-history?taxnode_id=201854523","ICTVonline=201854523")</f>
        <v>ICTVonline=201854523</v>
      </c>
      <c r="AA1646" s="1">
        <v>201850000</v>
      </c>
      <c r="AB1646" s="1">
        <v>34</v>
      </c>
    </row>
    <row r="1647" spans="1:28" x14ac:dyDescent="0.15">
      <c r="A1647" s="1">
        <v>4301</v>
      </c>
      <c r="B1647" s="1" t="s">
        <v>7159</v>
      </c>
      <c r="L1647" s="1" t="s">
        <v>2041</v>
      </c>
      <c r="N1647" s="1" t="s">
        <v>473</v>
      </c>
      <c r="P1647" s="1" t="s">
        <v>476</v>
      </c>
      <c r="Q1647" s="3">
        <v>0</v>
      </c>
      <c r="S1647" s="23" t="s">
        <v>5949</v>
      </c>
      <c r="T1647" s="23" t="s">
        <v>4931</v>
      </c>
      <c r="U1647" s="3">
        <v>34</v>
      </c>
      <c r="W1647" s="45" t="str">
        <f>HYPERLINK("http://ictvonline.org/taxonomy/p/taxonomy-history?taxnode_id=201854524","ICTVonline=201854524")</f>
        <v>ICTVonline=201854524</v>
      </c>
      <c r="AA1647" s="1">
        <v>201850000</v>
      </c>
      <c r="AB1647" s="1">
        <v>34</v>
      </c>
    </row>
    <row r="1648" spans="1:28" x14ac:dyDescent="0.15">
      <c r="A1648" s="1">
        <v>4303</v>
      </c>
      <c r="B1648" s="1" t="s">
        <v>7159</v>
      </c>
      <c r="L1648" s="1" t="s">
        <v>2041</v>
      </c>
      <c r="N1648" s="1" t="s">
        <v>473</v>
      </c>
      <c r="P1648" s="1" t="s">
        <v>477</v>
      </c>
      <c r="Q1648" s="3">
        <v>0</v>
      </c>
      <c r="S1648" s="23" t="s">
        <v>5949</v>
      </c>
      <c r="T1648" s="23" t="s">
        <v>4931</v>
      </c>
      <c r="U1648" s="3">
        <v>34</v>
      </c>
      <c r="W1648" s="45" t="str">
        <f>HYPERLINK("http://ictvonline.org/taxonomy/p/taxonomy-history?taxnode_id=201854525","ICTVonline=201854525")</f>
        <v>ICTVonline=201854525</v>
      </c>
      <c r="AA1648" s="1">
        <v>201850000</v>
      </c>
      <c r="AB1648" s="1">
        <v>34</v>
      </c>
    </row>
    <row r="1649" spans="1:28" x14ac:dyDescent="0.15">
      <c r="A1649" s="1">
        <v>4305</v>
      </c>
      <c r="B1649" s="1" t="s">
        <v>7159</v>
      </c>
      <c r="L1649" s="1" t="s">
        <v>2041</v>
      </c>
      <c r="N1649" s="1" t="s">
        <v>473</v>
      </c>
      <c r="P1649" s="1" t="s">
        <v>193</v>
      </c>
      <c r="Q1649" s="3">
        <v>0</v>
      </c>
      <c r="S1649" s="23" t="s">
        <v>5949</v>
      </c>
      <c r="T1649" s="23" t="s">
        <v>4931</v>
      </c>
      <c r="U1649" s="3">
        <v>34</v>
      </c>
      <c r="W1649" s="45" t="str">
        <f>HYPERLINK("http://ictvonline.org/taxonomy/p/taxonomy-history?taxnode_id=201854526","ICTVonline=201854526")</f>
        <v>ICTVonline=201854526</v>
      </c>
      <c r="AA1649" s="1">
        <v>201850000</v>
      </c>
      <c r="AB1649" s="1">
        <v>34</v>
      </c>
    </row>
    <row r="1650" spans="1:28" x14ac:dyDescent="0.15">
      <c r="A1650" s="1">
        <v>4307</v>
      </c>
      <c r="B1650" s="1" t="s">
        <v>7159</v>
      </c>
      <c r="L1650" s="1" t="s">
        <v>2041</v>
      </c>
      <c r="N1650" s="1" t="s">
        <v>473</v>
      </c>
      <c r="P1650" s="1" t="s">
        <v>478</v>
      </c>
      <c r="Q1650" s="3">
        <v>1</v>
      </c>
      <c r="S1650" s="23" t="s">
        <v>5949</v>
      </c>
      <c r="T1650" s="23" t="s">
        <v>4931</v>
      </c>
      <c r="U1650" s="3">
        <v>34</v>
      </c>
      <c r="W1650" s="45" t="str">
        <f>HYPERLINK("http://ictvonline.org/taxonomy/p/taxonomy-history?taxnode_id=201854527","ICTVonline=201854527")</f>
        <v>ICTVonline=201854527</v>
      </c>
      <c r="AA1650" s="1">
        <v>201850000</v>
      </c>
      <c r="AB1650" s="1">
        <v>34</v>
      </c>
    </row>
    <row r="1651" spans="1:28" x14ac:dyDescent="0.15">
      <c r="A1651" s="1">
        <v>4309</v>
      </c>
      <c r="B1651" s="1" t="s">
        <v>7159</v>
      </c>
      <c r="L1651" s="1" t="s">
        <v>2041</v>
      </c>
      <c r="N1651" s="1" t="s">
        <v>473</v>
      </c>
      <c r="P1651" s="1" t="s">
        <v>479</v>
      </c>
      <c r="Q1651" s="3">
        <v>0</v>
      </c>
      <c r="S1651" s="23" t="s">
        <v>5949</v>
      </c>
      <c r="T1651" s="23" t="s">
        <v>4931</v>
      </c>
      <c r="U1651" s="3">
        <v>34</v>
      </c>
      <c r="W1651" s="45" t="str">
        <f>HYPERLINK("http://ictvonline.org/taxonomy/p/taxonomy-history?taxnode_id=201854528","ICTVonline=201854528")</f>
        <v>ICTVonline=201854528</v>
      </c>
      <c r="AA1651" s="1">
        <v>201850000</v>
      </c>
      <c r="AB1651" s="1">
        <v>34</v>
      </c>
    </row>
    <row r="1652" spans="1:28" x14ac:dyDescent="0.15">
      <c r="A1652" s="1">
        <v>4311</v>
      </c>
      <c r="B1652" s="1" t="s">
        <v>7159</v>
      </c>
      <c r="L1652" s="1" t="s">
        <v>2041</v>
      </c>
      <c r="N1652" s="1" t="s">
        <v>473</v>
      </c>
      <c r="P1652" s="1" t="s">
        <v>480</v>
      </c>
      <c r="Q1652" s="3">
        <v>0</v>
      </c>
      <c r="S1652" s="23" t="s">
        <v>5949</v>
      </c>
      <c r="T1652" s="23" t="s">
        <v>4931</v>
      </c>
      <c r="U1652" s="3">
        <v>34</v>
      </c>
      <c r="W1652" s="45" t="str">
        <f>HYPERLINK("http://ictvonline.org/taxonomy/p/taxonomy-history?taxnode_id=201854529","ICTVonline=201854529")</f>
        <v>ICTVonline=201854529</v>
      </c>
      <c r="AA1652" s="1">
        <v>201850000</v>
      </c>
      <c r="AB1652" s="1">
        <v>34</v>
      </c>
    </row>
    <row r="1653" spans="1:28" x14ac:dyDescent="0.15">
      <c r="A1653" s="1">
        <v>4313</v>
      </c>
      <c r="B1653" s="1" t="s">
        <v>7159</v>
      </c>
      <c r="L1653" s="1" t="s">
        <v>2041</v>
      </c>
      <c r="N1653" s="1" t="s">
        <v>473</v>
      </c>
      <c r="P1653" s="1" t="s">
        <v>481</v>
      </c>
      <c r="Q1653" s="3">
        <v>0</v>
      </c>
      <c r="S1653" s="23" t="s">
        <v>5949</v>
      </c>
      <c r="T1653" s="23" t="s">
        <v>4931</v>
      </c>
      <c r="U1653" s="3">
        <v>34</v>
      </c>
      <c r="W1653" s="45" t="str">
        <f>HYPERLINK("http://ictvonline.org/taxonomy/p/taxonomy-history?taxnode_id=201854530","ICTVonline=201854530")</f>
        <v>ICTVonline=201854530</v>
      </c>
      <c r="AA1653" s="1">
        <v>201850000</v>
      </c>
      <c r="AB1653" s="1">
        <v>34</v>
      </c>
    </row>
    <row r="1654" spans="1:28" x14ac:dyDescent="0.15">
      <c r="A1654" s="1">
        <v>4319</v>
      </c>
      <c r="B1654" s="1" t="s">
        <v>7159</v>
      </c>
      <c r="L1654" s="1" t="s">
        <v>482</v>
      </c>
      <c r="N1654" s="1" t="s">
        <v>5525</v>
      </c>
      <c r="P1654" s="1" t="s">
        <v>5526</v>
      </c>
      <c r="Q1654" s="3">
        <v>1</v>
      </c>
      <c r="S1654" s="23" t="s">
        <v>5949</v>
      </c>
      <c r="T1654" s="23" t="s">
        <v>4931</v>
      </c>
      <c r="U1654" s="3">
        <v>34</v>
      </c>
      <c r="W1654" s="45" t="str">
        <f>HYPERLINK("http://ictvonline.org/taxonomy/p/taxonomy-history?taxnode_id=201855915","ICTVonline=201855915")</f>
        <v>ICTVonline=201855915</v>
      </c>
      <c r="AA1654" s="1">
        <v>201850000</v>
      </c>
      <c r="AB1654" s="1">
        <v>34</v>
      </c>
    </row>
    <row r="1655" spans="1:28" x14ac:dyDescent="0.15">
      <c r="A1655" s="1">
        <v>4323</v>
      </c>
      <c r="B1655" s="1" t="s">
        <v>7159</v>
      </c>
      <c r="L1655" s="1" t="s">
        <v>482</v>
      </c>
      <c r="N1655" s="1" t="s">
        <v>550</v>
      </c>
      <c r="P1655" s="1" t="s">
        <v>551</v>
      </c>
      <c r="Q1655" s="3">
        <v>1</v>
      </c>
      <c r="S1655" s="23" t="s">
        <v>5949</v>
      </c>
      <c r="T1655" s="23" t="s">
        <v>4931</v>
      </c>
      <c r="U1655" s="3">
        <v>34</v>
      </c>
      <c r="W1655" s="45" t="str">
        <f>HYPERLINK("http://ictvonline.org/taxonomy/p/taxonomy-history?taxnode_id=201854534","ICTVonline=201854534")</f>
        <v>ICTVonline=201854534</v>
      </c>
      <c r="AA1655" s="1">
        <v>201850000</v>
      </c>
      <c r="AB1655" s="1">
        <v>34</v>
      </c>
    </row>
    <row r="1656" spans="1:28" x14ac:dyDescent="0.15">
      <c r="A1656" s="1">
        <v>4327</v>
      </c>
      <c r="B1656" s="1" t="s">
        <v>7159</v>
      </c>
      <c r="L1656" s="1" t="s">
        <v>482</v>
      </c>
      <c r="N1656" s="1" t="s">
        <v>483</v>
      </c>
      <c r="P1656" s="1" t="s">
        <v>484</v>
      </c>
      <c r="Q1656" s="3">
        <v>0</v>
      </c>
      <c r="S1656" s="23" t="s">
        <v>5949</v>
      </c>
      <c r="T1656" s="23" t="s">
        <v>4931</v>
      </c>
      <c r="U1656" s="3">
        <v>34</v>
      </c>
      <c r="W1656" s="45" t="str">
        <f>HYPERLINK("http://ictvonline.org/taxonomy/p/taxonomy-history?taxnode_id=201854536","ICTVonline=201854536")</f>
        <v>ICTVonline=201854536</v>
      </c>
      <c r="AA1656" s="1">
        <v>201850000</v>
      </c>
      <c r="AB1656" s="1">
        <v>34</v>
      </c>
    </row>
    <row r="1657" spans="1:28" x14ac:dyDescent="0.15">
      <c r="A1657" s="1">
        <v>4329</v>
      </c>
      <c r="B1657" s="1" t="s">
        <v>7159</v>
      </c>
      <c r="L1657" s="1" t="s">
        <v>482</v>
      </c>
      <c r="N1657" s="1" t="s">
        <v>483</v>
      </c>
      <c r="P1657" s="1" t="s">
        <v>485</v>
      </c>
      <c r="Q1657" s="3">
        <v>1</v>
      </c>
      <c r="S1657" s="23" t="s">
        <v>5949</v>
      </c>
      <c r="T1657" s="23" t="s">
        <v>4931</v>
      </c>
      <c r="U1657" s="3">
        <v>34</v>
      </c>
      <c r="W1657" s="45" t="str">
        <f>HYPERLINK("http://ictvonline.org/taxonomy/p/taxonomy-history?taxnode_id=201854537","ICTVonline=201854537")</f>
        <v>ICTVonline=201854537</v>
      </c>
      <c r="AA1657" s="1">
        <v>201850000</v>
      </c>
      <c r="AB1657" s="1">
        <v>34</v>
      </c>
    </row>
    <row r="1658" spans="1:28" x14ac:dyDescent="0.15">
      <c r="A1658" s="1">
        <v>4331</v>
      </c>
      <c r="B1658" s="1" t="s">
        <v>7159</v>
      </c>
      <c r="L1658" s="1" t="s">
        <v>482</v>
      </c>
      <c r="N1658" s="1" t="s">
        <v>483</v>
      </c>
      <c r="P1658" s="1" t="s">
        <v>1549</v>
      </c>
      <c r="Q1658" s="3">
        <v>0</v>
      </c>
      <c r="S1658" s="23" t="s">
        <v>5949</v>
      </c>
      <c r="T1658" s="23" t="s">
        <v>4931</v>
      </c>
      <c r="U1658" s="3">
        <v>34</v>
      </c>
      <c r="W1658" s="45" t="str">
        <f>HYPERLINK("http://ictvonline.org/taxonomy/p/taxonomy-history?taxnode_id=201854538","ICTVonline=201854538")</f>
        <v>ICTVonline=201854538</v>
      </c>
      <c r="AA1658" s="1">
        <v>201850000</v>
      </c>
      <c r="AB1658" s="1">
        <v>34</v>
      </c>
    </row>
    <row r="1659" spans="1:28" x14ac:dyDescent="0.15">
      <c r="A1659" s="1">
        <v>4333</v>
      </c>
      <c r="B1659" s="1" t="s">
        <v>7159</v>
      </c>
      <c r="L1659" s="1" t="s">
        <v>482</v>
      </c>
      <c r="N1659" s="1" t="s">
        <v>483</v>
      </c>
      <c r="P1659" s="1" t="s">
        <v>915</v>
      </c>
      <c r="Q1659" s="3">
        <v>0</v>
      </c>
      <c r="S1659" s="23" t="s">
        <v>5949</v>
      </c>
      <c r="T1659" s="23" t="s">
        <v>4931</v>
      </c>
      <c r="U1659" s="3">
        <v>34</v>
      </c>
      <c r="W1659" s="45" t="str">
        <f>HYPERLINK("http://ictvonline.org/taxonomy/p/taxonomy-history?taxnode_id=201854539","ICTVonline=201854539")</f>
        <v>ICTVonline=201854539</v>
      </c>
      <c r="AA1659" s="1">
        <v>201850000</v>
      </c>
      <c r="AB1659" s="1">
        <v>34</v>
      </c>
    </row>
    <row r="1660" spans="1:28" x14ac:dyDescent="0.15">
      <c r="A1660" s="1">
        <v>4335</v>
      </c>
      <c r="B1660" s="1" t="s">
        <v>7159</v>
      </c>
      <c r="L1660" s="1" t="s">
        <v>482</v>
      </c>
      <c r="N1660" s="1" t="s">
        <v>483</v>
      </c>
      <c r="P1660" s="1" t="s">
        <v>838</v>
      </c>
      <c r="Q1660" s="3">
        <v>0</v>
      </c>
      <c r="S1660" s="23" t="s">
        <v>5949</v>
      </c>
      <c r="T1660" s="23" t="s">
        <v>4931</v>
      </c>
      <c r="U1660" s="3">
        <v>34</v>
      </c>
      <c r="W1660" s="45" t="str">
        <f>HYPERLINK("http://ictvonline.org/taxonomy/p/taxonomy-history?taxnode_id=201854540","ICTVonline=201854540")</f>
        <v>ICTVonline=201854540</v>
      </c>
      <c r="AA1660" s="1">
        <v>201850000</v>
      </c>
      <c r="AB1660" s="1">
        <v>34</v>
      </c>
    </row>
    <row r="1661" spans="1:28" x14ac:dyDescent="0.15">
      <c r="A1661" s="1">
        <v>4337</v>
      </c>
      <c r="B1661" s="1" t="s">
        <v>7159</v>
      </c>
      <c r="L1661" s="1" t="s">
        <v>482</v>
      </c>
      <c r="N1661" s="1" t="s">
        <v>483</v>
      </c>
      <c r="P1661" s="1" t="s">
        <v>839</v>
      </c>
      <c r="Q1661" s="3">
        <v>0</v>
      </c>
      <c r="S1661" s="23" t="s">
        <v>5949</v>
      </c>
      <c r="T1661" s="23" t="s">
        <v>4931</v>
      </c>
      <c r="U1661" s="3">
        <v>34</v>
      </c>
      <c r="W1661" s="45" t="str">
        <f>HYPERLINK("http://ictvonline.org/taxonomy/p/taxonomy-history?taxnode_id=201854541","ICTVonline=201854541")</f>
        <v>ICTVonline=201854541</v>
      </c>
      <c r="AA1661" s="1">
        <v>201850000</v>
      </c>
      <c r="AB1661" s="1">
        <v>34</v>
      </c>
    </row>
    <row r="1662" spans="1:28" x14ac:dyDescent="0.15">
      <c r="A1662" s="1">
        <v>4341</v>
      </c>
      <c r="B1662" s="1" t="s">
        <v>7159</v>
      </c>
      <c r="L1662" s="1" t="s">
        <v>482</v>
      </c>
      <c r="N1662" s="1" t="s">
        <v>840</v>
      </c>
      <c r="P1662" s="1" t="s">
        <v>920</v>
      </c>
      <c r="Q1662" s="3">
        <v>0</v>
      </c>
      <c r="S1662" s="23" t="s">
        <v>5949</v>
      </c>
      <c r="T1662" s="23" t="s">
        <v>4931</v>
      </c>
      <c r="U1662" s="3">
        <v>34</v>
      </c>
      <c r="W1662" s="45" t="str">
        <f>HYPERLINK("http://ictvonline.org/taxonomy/p/taxonomy-history?taxnode_id=201854543","ICTVonline=201854543")</f>
        <v>ICTVonline=201854543</v>
      </c>
      <c r="AA1662" s="1">
        <v>201850000</v>
      </c>
      <c r="AB1662" s="1">
        <v>34</v>
      </c>
    </row>
    <row r="1663" spans="1:28" x14ac:dyDescent="0.15">
      <c r="A1663" s="1">
        <v>4343</v>
      </c>
      <c r="B1663" s="1" t="s">
        <v>7159</v>
      </c>
      <c r="L1663" s="1" t="s">
        <v>482</v>
      </c>
      <c r="N1663" s="1" t="s">
        <v>840</v>
      </c>
      <c r="P1663" s="1" t="s">
        <v>5527</v>
      </c>
      <c r="Q1663" s="3">
        <v>0</v>
      </c>
      <c r="S1663" s="23" t="s">
        <v>5949</v>
      </c>
      <c r="T1663" s="23" t="s">
        <v>4931</v>
      </c>
      <c r="U1663" s="3">
        <v>34</v>
      </c>
      <c r="W1663" s="45" t="str">
        <f>HYPERLINK("http://ictvonline.org/taxonomy/p/taxonomy-history?taxnode_id=201855917","ICTVonline=201855917")</f>
        <v>ICTVonline=201855917</v>
      </c>
      <c r="AA1663" s="1">
        <v>201850000</v>
      </c>
      <c r="AB1663" s="1">
        <v>34</v>
      </c>
    </row>
    <row r="1664" spans="1:28" x14ac:dyDescent="0.15">
      <c r="A1664" s="1">
        <v>4345</v>
      </c>
      <c r="B1664" s="1" t="s">
        <v>7159</v>
      </c>
      <c r="L1664" s="1" t="s">
        <v>482</v>
      </c>
      <c r="N1664" s="1" t="s">
        <v>840</v>
      </c>
      <c r="P1664" s="1" t="s">
        <v>921</v>
      </c>
      <c r="Q1664" s="3">
        <v>0</v>
      </c>
      <c r="S1664" s="23" t="s">
        <v>5949</v>
      </c>
      <c r="T1664" s="23" t="s">
        <v>4931</v>
      </c>
      <c r="U1664" s="3">
        <v>34</v>
      </c>
      <c r="W1664" s="45" t="str">
        <f>HYPERLINK("http://ictvonline.org/taxonomy/p/taxonomy-history?taxnode_id=201854544","ICTVonline=201854544")</f>
        <v>ICTVonline=201854544</v>
      </c>
      <c r="AA1664" s="1">
        <v>201850000</v>
      </c>
      <c r="AB1664" s="1">
        <v>34</v>
      </c>
    </row>
    <row r="1665" spans="1:28" x14ac:dyDescent="0.15">
      <c r="A1665" s="1">
        <v>4347</v>
      </c>
      <c r="B1665" s="1" t="s">
        <v>7159</v>
      </c>
      <c r="L1665" s="1" t="s">
        <v>482</v>
      </c>
      <c r="N1665" s="1" t="s">
        <v>840</v>
      </c>
      <c r="P1665" s="1" t="s">
        <v>922</v>
      </c>
      <c r="Q1665" s="3">
        <v>0</v>
      </c>
      <c r="S1665" s="23" t="s">
        <v>5949</v>
      </c>
      <c r="T1665" s="23" t="s">
        <v>4931</v>
      </c>
      <c r="U1665" s="3">
        <v>34</v>
      </c>
      <c r="W1665" s="45" t="str">
        <f>HYPERLINK("http://ictvonline.org/taxonomy/p/taxonomy-history?taxnode_id=201854545","ICTVonline=201854545")</f>
        <v>ICTVonline=201854545</v>
      </c>
      <c r="AA1665" s="1">
        <v>201850000</v>
      </c>
      <c r="AB1665" s="1">
        <v>34</v>
      </c>
    </row>
    <row r="1666" spans="1:28" x14ac:dyDescent="0.15">
      <c r="A1666" s="1">
        <v>4349</v>
      </c>
      <c r="B1666" s="1" t="s">
        <v>7159</v>
      </c>
      <c r="L1666" s="1" t="s">
        <v>482</v>
      </c>
      <c r="N1666" s="1" t="s">
        <v>840</v>
      </c>
      <c r="P1666" s="1" t="s">
        <v>923</v>
      </c>
      <c r="Q1666" s="3">
        <v>1</v>
      </c>
      <c r="S1666" s="23" t="s">
        <v>5949</v>
      </c>
      <c r="T1666" s="23" t="s">
        <v>4931</v>
      </c>
      <c r="U1666" s="3">
        <v>34</v>
      </c>
      <c r="W1666" s="45" t="str">
        <f>HYPERLINK("http://ictvonline.org/taxonomy/p/taxonomy-history?taxnode_id=201854546","ICTVonline=201854546")</f>
        <v>ICTVonline=201854546</v>
      </c>
      <c r="AA1666" s="1">
        <v>201850000</v>
      </c>
      <c r="AB1666" s="1">
        <v>34</v>
      </c>
    </row>
    <row r="1667" spans="1:28" x14ac:dyDescent="0.15">
      <c r="A1667" s="1">
        <v>4351</v>
      </c>
      <c r="B1667" s="1" t="s">
        <v>7159</v>
      </c>
      <c r="L1667" s="1" t="s">
        <v>482</v>
      </c>
      <c r="N1667" s="1" t="s">
        <v>840</v>
      </c>
      <c r="P1667" s="1" t="s">
        <v>2078</v>
      </c>
      <c r="Q1667" s="3">
        <v>0</v>
      </c>
      <c r="S1667" s="23" t="s">
        <v>5949</v>
      </c>
      <c r="T1667" s="23" t="s">
        <v>4931</v>
      </c>
      <c r="U1667" s="3">
        <v>34</v>
      </c>
      <c r="W1667" s="45" t="str">
        <f>HYPERLINK("http://ictvonline.org/taxonomy/p/taxonomy-history?taxnode_id=201854547","ICTVonline=201854547")</f>
        <v>ICTVonline=201854547</v>
      </c>
      <c r="AA1667" s="1">
        <v>201850000</v>
      </c>
      <c r="AB1667" s="1">
        <v>34</v>
      </c>
    </row>
    <row r="1668" spans="1:28" x14ac:dyDescent="0.15">
      <c r="A1668" s="1">
        <v>4353</v>
      </c>
      <c r="B1668" s="1" t="s">
        <v>7159</v>
      </c>
      <c r="L1668" s="1" t="s">
        <v>482</v>
      </c>
      <c r="N1668" s="1" t="s">
        <v>840</v>
      </c>
      <c r="P1668" s="1" t="s">
        <v>194</v>
      </c>
      <c r="Q1668" s="3">
        <v>0</v>
      </c>
      <c r="S1668" s="23" t="s">
        <v>5949</v>
      </c>
      <c r="T1668" s="23" t="s">
        <v>4931</v>
      </c>
      <c r="U1668" s="3">
        <v>34</v>
      </c>
      <c r="W1668" s="45" t="str">
        <f>HYPERLINK("http://ictvonline.org/taxonomy/p/taxonomy-history?taxnode_id=201854548","ICTVonline=201854548")</f>
        <v>ICTVonline=201854548</v>
      </c>
      <c r="AA1668" s="1">
        <v>201850000</v>
      </c>
      <c r="AB1668" s="1">
        <v>34</v>
      </c>
    </row>
    <row r="1669" spans="1:28" x14ac:dyDescent="0.15">
      <c r="A1669" s="1">
        <v>4357</v>
      </c>
      <c r="B1669" s="1" t="s">
        <v>7159</v>
      </c>
      <c r="L1669" s="1" t="s">
        <v>482</v>
      </c>
      <c r="N1669" s="1" t="s">
        <v>924</v>
      </c>
      <c r="P1669" s="1" t="s">
        <v>925</v>
      </c>
      <c r="Q1669" s="3">
        <v>0</v>
      </c>
      <c r="S1669" s="23" t="s">
        <v>5949</v>
      </c>
      <c r="T1669" s="23" t="s">
        <v>4931</v>
      </c>
      <c r="U1669" s="3">
        <v>34</v>
      </c>
      <c r="W1669" s="45" t="str">
        <f>HYPERLINK("http://ictvonline.org/taxonomy/p/taxonomy-history?taxnode_id=201854550","ICTVonline=201854550")</f>
        <v>ICTVonline=201854550</v>
      </c>
      <c r="AA1669" s="1">
        <v>201850000</v>
      </c>
      <c r="AB1669" s="1">
        <v>34</v>
      </c>
    </row>
    <row r="1670" spans="1:28" x14ac:dyDescent="0.15">
      <c r="A1670" s="1">
        <v>4359</v>
      </c>
      <c r="B1670" s="1" t="s">
        <v>7159</v>
      </c>
      <c r="L1670" s="1" t="s">
        <v>482</v>
      </c>
      <c r="N1670" s="1" t="s">
        <v>924</v>
      </c>
      <c r="P1670" s="1" t="s">
        <v>596</v>
      </c>
      <c r="Q1670" s="3">
        <v>0</v>
      </c>
      <c r="S1670" s="23" t="s">
        <v>5949</v>
      </c>
      <c r="T1670" s="23" t="s">
        <v>4931</v>
      </c>
      <c r="U1670" s="3">
        <v>34</v>
      </c>
      <c r="W1670" s="45" t="str">
        <f>HYPERLINK("http://ictvonline.org/taxonomy/p/taxonomy-history?taxnode_id=201854551","ICTVonline=201854551")</f>
        <v>ICTVonline=201854551</v>
      </c>
      <c r="AA1670" s="1">
        <v>201850000</v>
      </c>
      <c r="AB1670" s="1">
        <v>34</v>
      </c>
    </row>
    <row r="1671" spans="1:28" x14ac:dyDescent="0.15">
      <c r="A1671" s="1">
        <v>4361</v>
      </c>
      <c r="B1671" s="1" t="s">
        <v>7159</v>
      </c>
      <c r="L1671" s="1" t="s">
        <v>482</v>
      </c>
      <c r="N1671" s="1" t="s">
        <v>924</v>
      </c>
      <c r="P1671" s="1" t="s">
        <v>4826</v>
      </c>
      <c r="Q1671" s="3">
        <v>0</v>
      </c>
      <c r="S1671" s="23" t="s">
        <v>5949</v>
      </c>
      <c r="T1671" s="23" t="s">
        <v>4931</v>
      </c>
      <c r="U1671" s="3">
        <v>34</v>
      </c>
      <c r="W1671" s="45" t="str">
        <f>HYPERLINK("http://ictvonline.org/taxonomy/p/taxonomy-history?taxnode_id=201854552","ICTVonline=201854552")</f>
        <v>ICTVonline=201854552</v>
      </c>
      <c r="AA1671" s="1">
        <v>201850000</v>
      </c>
      <c r="AB1671" s="1">
        <v>34</v>
      </c>
    </row>
    <row r="1672" spans="1:28" x14ac:dyDescent="0.15">
      <c r="A1672" s="1">
        <v>4363</v>
      </c>
      <c r="B1672" s="1" t="s">
        <v>7159</v>
      </c>
      <c r="L1672" s="1" t="s">
        <v>482</v>
      </c>
      <c r="N1672" s="1" t="s">
        <v>924</v>
      </c>
      <c r="P1672" s="1" t="s">
        <v>926</v>
      </c>
      <c r="Q1672" s="3">
        <v>0</v>
      </c>
      <c r="S1672" s="23" t="s">
        <v>5949</v>
      </c>
      <c r="T1672" s="23" t="s">
        <v>4931</v>
      </c>
      <c r="U1672" s="3">
        <v>34</v>
      </c>
      <c r="W1672" s="45" t="str">
        <f>HYPERLINK("http://ictvonline.org/taxonomy/p/taxonomy-history?taxnode_id=201854553","ICTVonline=201854553")</f>
        <v>ICTVonline=201854553</v>
      </c>
      <c r="AA1672" s="1">
        <v>201850000</v>
      </c>
      <c r="AB1672" s="1">
        <v>34</v>
      </c>
    </row>
    <row r="1673" spans="1:28" x14ac:dyDescent="0.15">
      <c r="A1673" s="1">
        <v>4365</v>
      </c>
      <c r="B1673" s="1" t="s">
        <v>7159</v>
      </c>
      <c r="L1673" s="1" t="s">
        <v>482</v>
      </c>
      <c r="N1673" s="1" t="s">
        <v>924</v>
      </c>
      <c r="P1673" s="1" t="s">
        <v>927</v>
      </c>
      <c r="Q1673" s="3">
        <v>0</v>
      </c>
      <c r="S1673" s="23" t="s">
        <v>5949</v>
      </c>
      <c r="T1673" s="23" t="s">
        <v>4931</v>
      </c>
      <c r="U1673" s="3">
        <v>34</v>
      </c>
      <c r="W1673" s="45" t="str">
        <f>HYPERLINK("http://ictvonline.org/taxonomy/p/taxonomy-history?taxnode_id=201854554","ICTVonline=201854554")</f>
        <v>ICTVonline=201854554</v>
      </c>
      <c r="AA1673" s="1">
        <v>201850000</v>
      </c>
      <c r="AB1673" s="1">
        <v>34</v>
      </c>
    </row>
    <row r="1674" spans="1:28" x14ac:dyDescent="0.15">
      <c r="A1674" s="1">
        <v>4367</v>
      </c>
      <c r="B1674" s="1" t="s">
        <v>7159</v>
      </c>
      <c r="L1674" s="1" t="s">
        <v>482</v>
      </c>
      <c r="N1674" s="1" t="s">
        <v>924</v>
      </c>
      <c r="P1674" s="1" t="s">
        <v>588</v>
      </c>
      <c r="Q1674" s="3">
        <v>1</v>
      </c>
      <c r="S1674" s="23" t="s">
        <v>5949</v>
      </c>
      <c r="T1674" s="23" t="s">
        <v>4931</v>
      </c>
      <c r="U1674" s="3">
        <v>34</v>
      </c>
      <c r="W1674" s="45" t="str">
        <f>HYPERLINK("http://ictvonline.org/taxonomy/p/taxonomy-history?taxnode_id=201854555","ICTVonline=201854555")</f>
        <v>ICTVonline=201854555</v>
      </c>
      <c r="AA1674" s="1">
        <v>201850000</v>
      </c>
      <c r="AB1674" s="1">
        <v>34</v>
      </c>
    </row>
    <row r="1675" spans="1:28" x14ac:dyDescent="0.15">
      <c r="A1675" s="1">
        <v>4369</v>
      </c>
      <c r="B1675" s="1" t="s">
        <v>7159</v>
      </c>
      <c r="L1675" s="1" t="s">
        <v>482</v>
      </c>
      <c r="N1675" s="1" t="s">
        <v>924</v>
      </c>
      <c r="P1675" s="1" t="s">
        <v>589</v>
      </c>
      <c r="Q1675" s="3">
        <v>0</v>
      </c>
      <c r="S1675" s="23" t="s">
        <v>5949</v>
      </c>
      <c r="T1675" s="23" t="s">
        <v>4931</v>
      </c>
      <c r="U1675" s="3">
        <v>34</v>
      </c>
      <c r="W1675" s="45" t="str">
        <f>HYPERLINK("http://ictvonline.org/taxonomy/p/taxonomy-history?taxnode_id=201854556","ICTVonline=201854556")</f>
        <v>ICTVonline=201854556</v>
      </c>
      <c r="AA1675" s="1">
        <v>201850000</v>
      </c>
      <c r="AB1675" s="1">
        <v>34</v>
      </c>
    </row>
    <row r="1676" spans="1:28" x14ac:dyDescent="0.15">
      <c r="A1676" s="1">
        <v>4371</v>
      </c>
      <c r="B1676" s="1" t="s">
        <v>7159</v>
      </c>
      <c r="L1676" s="1" t="s">
        <v>482</v>
      </c>
      <c r="N1676" s="1" t="s">
        <v>924</v>
      </c>
      <c r="P1676" s="1" t="s">
        <v>4827</v>
      </c>
      <c r="Q1676" s="3">
        <v>0</v>
      </c>
      <c r="S1676" s="23" t="s">
        <v>5949</v>
      </c>
      <c r="T1676" s="23" t="s">
        <v>4931</v>
      </c>
      <c r="U1676" s="3">
        <v>34</v>
      </c>
      <c r="W1676" s="45" t="str">
        <f>HYPERLINK("http://ictvonline.org/taxonomy/p/taxonomy-history?taxnode_id=201854557","ICTVonline=201854557")</f>
        <v>ICTVonline=201854557</v>
      </c>
      <c r="AA1676" s="1">
        <v>201850000</v>
      </c>
      <c r="AB1676" s="1">
        <v>34</v>
      </c>
    </row>
    <row r="1677" spans="1:28" x14ac:dyDescent="0.15">
      <c r="A1677" s="1">
        <v>4375</v>
      </c>
      <c r="B1677" s="1" t="s">
        <v>7159</v>
      </c>
      <c r="L1677" s="1" t="s">
        <v>482</v>
      </c>
      <c r="N1677" s="1" t="s">
        <v>195</v>
      </c>
      <c r="P1677" s="1" t="s">
        <v>4000</v>
      </c>
      <c r="Q1677" s="3">
        <v>0</v>
      </c>
      <c r="S1677" s="23" t="s">
        <v>5949</v>
      </c>
      <c r="T1677" s="23" t="s">
        <v>4931</v>
      </c>
      <c r="U1677" s="3">
        <v>34</v>
      </c>
      <c r="W1677" s="45" t="str">
        <f>HYPERLINK("http://ictvonline.org/taxonomy/p/taxonomy-history?taxnode_id=201854559","ICTVonline=201854559")</f>
        <v>ICTVonline=201854559</v>
      </c>
      <c r="AA1677" s="1">
        <v>201850000</v>
      </c>
      <c r="AB1677" s="1">
        <v>34</v>
      </c>
    </row>
    <row r="1678" spans="1:28" x14ac:dyDescent="0.15">
      <c r="A1678" s="1">
        <v>4377</v>
      </c>
      <c r="B1678" s="1" t="s">
        <v>7159</v>
      </c>
      <c r="L1678" s="1" t="s">
        <v>482</v>
      </c>
      <c r="N1678" s="1" t="s">
        <v>195</v>
      </c>
      <c r="P1678" s="1" t="s">
        <v>496</v>
      </c>
      <c r="Q1678" s="3">
        <v>0</v>
      </c>
      <c r="S1678" s="23" t="s">
        <v>5949</v>
      </c>
      <c r="T1678" s="23" t="s">
        <v>4931</v>
      </c>
      <c r="U1678" s="3">
        <v>34</v>
      </c>
      <c r="W1678" s="45" t="str">
        <f>HYPERLINK("http://ictvonline.org/taxonomy/p/taxonomy-history?taxnode_id=201854560","ICTVonline=201854560")</f>
        <v>ICTVonline=201854560</v>
      </c>
      <c r="AA1678" s="1">
        <v>201850000</v>
      </c>
      <c r="AB1678" s="1">
        <v>34</v>
      </c>
    </row>
    <row r="1679" spans="1:28" x14ac:dyDescent="0.15">
      <c r="A1679" s="1">
        <v>4379</v>
      </c>
      <c r="B1679" s="1" t="s">
        <v>7159</v>
      </c>
      <c r="L1679" s="1" t="s">
        <v>482</v>
      </c>
      <c r="N1679" s="1" t="s">
        <v>195</v>
      </c>
      <c r="P1679" s="1" t="s">
        <v>196</v>
      </c>
      <c r="Q1679" s="3">
        <v>1</v>
      </c>
      <c r="S1679" s="23" t="s">
        <v>5949</v>
      </c>
      <c r="T1679" s="23" t="s">
        <v>4931</v>
      </c>
      <c r="U1679" s="3">
        <v>34</v>
      </c>
      <c r="W1679" s="45" t="str">
        <f>HYPERLINK("http://ictvonline.org/taxonomy/p/taxonomy-history?taxnode_id=201854561","ICTVonline=201854561")</f>
        <v>ICTVonline=201854561</v>
      </c>
      <c r="AA1679" s="1">
        <v>201850000</v>
      </c>
      <c r="AB1679" s="1">
        <v>34</v>
      </c>
    </row>
    <row r="1680" spans="1:28" x14ac:dyDescent="0.15">
      <c r="A1680" s="1">
        <v>4383</v>
      </c>
      <c r="B1680" s="1" t="s">
        <v>7159</v>
      </c>
      <c r="L1680" s="1" t="s">
        <v>482</v>
      </c>
      <c r="N1680" s="1" t="s">
        <v>590</v>
      </c>
      <c r="P1680" s="1" t="s">
        <v>7135</v>
      </c>
      <c r="Q1680" s="3">
        <v>0</v>
      </c>
      <c r="S1680" s="23" t="s">
        <v>5949</v>
      </c>
      <c r="T1680" s="23" t="s">
        <v>4929</v>
      </c>
      <c r="U1680" s="3">
        <v>34</v>
      </c>
      <c r="V1680" s="3" t="s">
        <v>7136</v>
      </c>
      <c r="W1680" s="45" t="str">
        <f>HYPERLINK("http://ictvonline.org/taxonomy/p/taxonomy-history?taxnode_id=201856671","ICTVonline=201856671")</f>
        <v>ICTVonline=201856671</v>
      </c>
      <c r="AA1680" s="1">
        <v>201850000</v>
      </c>
      <c r="AB1680" s="1">
        <v>34</v>
      </c>
    </row>
    <row r="1681" spans="1:28" x14ac:dyDescent="0.15">
      <c r="A1681" s="1">
        <v>4385</v>
      </c>
      <c r="B1681" s="1" t="s">
        <v>7159</v>
      </c>
      <c r="L1681" s="1" t="s">
        <v>482</v>
      </c>
      <c r="N1681" s="1" t="s">
        <v>590</v>
      </c>
      <c r="P1681" s="1" t="s">
        <v>2109</v>
      </c>
      <c r="Q1681" s="3">
        <v>0</v>
      </c>
      <c r="S1681" s="23" t="s">
        <v>5949</v>
      </c>
      <c r="T1681" s="23" t="s">
        <v>4931</v>
      </c>
      <c r="U1681" s="3">
        <v>34</v>
      </c>
      <c r="W1681" s="45" t="str">
        <f>HYPERLINK("http://ictvonline.org/taxonomy/p/taxonomy-history?taxnode_id=201854563","ICTVonline=201854563")</f>
        <v>ICTVonline=201854563</v>
      </c>
      <c r="AA1681" s="1">
        <v>201850000</v>
      </c>
      <c r="AB1681" s="1">
        <v>34</v>
      </c>
    </row>
    <row r="1682" spans="1:28" x14ac:dyDescent="0.15">
      <c r="A1682" s="1">
        <v>4387</v>
      </c>
      <c r="B1682" s="1" t="s">
        <v>7159</v>
      </c>
      <c r="L1682" s="1" t="s">
        <v>482</v>
      </c>
      <c r="N1682" s="1" t="s">
        <v>590</v>
      </c>
      <c r="P1682" s="1" t="s">
        <v>591</v>
      </c>
      <c r="Q1682" s="3">
        <v>0</v>
      </c>
      <c r="S1682" s="23" t="s">
        <v>5949</v>
      </c>
      <c r="T1682" s="23" t="s">
        <v>4931</v>
      </c>
      <c r="U1682" s="3">
        <v>34</v>
      </c>
      <c r="W1682" s="45" t="str">
        <f>HYPERLINK("http://ictvonline.org/taxonomy/p/taxonomy-history?taxnode_id=201854564","ICTVonline=201854564")</f>
        <v>ICTVonline=201854564</v>
      </c>
      <c r="AA1682" s="1">
        <v>201850000</v>
      </c>
      <c r="AB1682" s="1">
        <v>34</v>
      </c>
    </row>
    <row r="1683" spans="1:28" x14ac:dyDescent="0.15">
      <c r="A1683" s="1">
        <v>4389</v>
      </c>
      <c r="B1683" s="1" t="s">
        <v>7159</v>
      </c>
      <c r="L1683" s="1" t="s">
        <v>482</v>
      </c>
      <c r="N1683" s="1" t="s">
        <v>590</v>
      </c>
      <c r="P1683" s="1" t="s">
        <v>2110</v>
      </c>
      <c r="Q1683" s="3">
        <v>0</v>
      </c>
      <c r="S1683" s="23" t="s">
        <v>5949</v>
      </c>
      <c r="T1683" s="23" t="s">
        <v>4931</v>
      </c>
      <c r="U1683" s="3">
        <v>34</v>
      </c>
      <c r="W1683" s="45" t="str">
        <f>HYPERLINK("http://ictvonline.org/taxonomy/p/taxonomy-history?taxnode_id=201854565","ICTVonline=201854565")</f>
        <v>ICTVonline=201854565</v>
      </c>
      <c r="AA1683" s="1">
        <v>201850000</v>
      </c>
      <c r="AB1683" s="1">
        <v>34</v>
      </c>
    </row>
    <row r="1684" spans="1:28" x14ac:dyDescent="0.15">
      <c r="A1684" s="1">
        <v>4391</v>
      </c>
      <c r="B1684" s="1" t="s">
        <v>7159</v>
      </c>
      <c r="L1684" s="1" t="s">
        <v>482</v>
      </c>
      <c r="N1684" s="1" t="s">
        <v>590</v>
      </c>
      <c r="P1684" s="1" t="s">
        <v>592</v>
      </c>
      <c r="Q1684" s="3">
        <v>0</v>
      </c>
      <c r="S1684" s="23" t="s">
        <v>5949</v>
      </c>
      <c r="T1684" s="23" t="s">
        <v>4931</v>
      </c>
      <c r="U1684" s="3">
        <v>34</v>
      </c>
      <c r="W1684" s="45" t="str">
        <f>HYPERLINK("http://ictvonline.org/taxonomy/p/taxonomy-history?taxnode_id=201854566","ICTVonline=201854566")</f>
        <v>ICTVonline=201854566</v>
      </c>
      <c r="AA1684" s="1">
        <v>201850000</v>
      </c>
      <c r="AB1684" s="1">
        <v>34</v>
      </c>
    </row>
    <row r="1685" spans="1:28" x14ac:dyDescent="0.15">
      <c r="A1685" s="1">
        <v>4393</v>
      </c>
      <c r="B1685" s="1" t="s">
        <v>7159</v>
      </c>
      <c r="L1685" s="1" t="s">
        <v>482</v>
      </c>
      <c r="N1685" s="1" t="s">
        <v>590</v>
      </c>
      <c r="P1685" s="1" t="s">
        <v>593</v>
      </c>
      <c r="Q1685" s="3">
        <v>0</v>
      </c>
      <c r="S1685" s="23" t="s">
        <v>5949</v>
      </c>
      <c r="T1685" s="23" t="s">
        <v>4931</v>
      </c>
      <c r="U1685" s="3">
        <v>34</v>
      </c>
      <c r="W1685" s="45" t="str">
        <f>HYPERLINK("http://ictvonline.org/taxonomy/p/taxonomy-history?taxnode_id=201854567","ICTVonline=201854567")</f>
        <v>ICTVonline=201854567</v>
      </c>
      <c r="AA1685" s="1">
        <v>201850000</v>
      </c>
      <c r="AB1685" s="1">
        <v>34</v>
      </c>
    </row>
    <row r="1686" spans="1:28" x14ac:dyDescent="0.15">
      <c r="A1686" s="1">
        <v>4395</v>
      </c>
      <c r="B1686" s="1" t="s">
        <v>7159</v>
      </c>
      <c r="L1686" s="1" t="s">
        <v>482</v>
      </c>
      <c r="N1686" s="1" t="s">
        <v>590</v>
      </c>
      <c r="P1686" s="1" t="s">
        <v>2111</v>
      </c>
      <c r="Q1686" s="3">
        <v>0</v>
      </c>
      <c r="S1686" s="23" t="s">
        <v>5949</v>
      </c>
      <c r="T1686" s="23" t="s">
        <v>4931</v>
      </c>
      <c r="U1686" s="3">
        <v>34</v>
      </c>
      <c r="W1686" s="45" t="str">
        <f>HYPERLINK("http://ictvonline.org/taxonomy/p/taxonomy-history?taxnode_id=201854568","ICTVonline=201854568")</f>
        <v>ICTVonline=201854568</v>
      </c>
      <c r="AA1686" s="1">
        <v>201850000</v>
      </c>
      <c r="AB1686" s="1">
        <v>34</v>
      </c>
    </row>
    <row r="1687" spans="1:28" x14ac:dyDescent="0.15">
      <c r="A1687" s="1">
        <v>4397</v>
      </c>
      <c r="B1687" s="1" t="s">
        <v>7159</v>
      </c>
      <c r="L1687" s="1" t="s">
        <v>482</v>
      </c>
      <c r="N1687" s="1" t="s">
        <v>590</v>
      </c>
      <c r="P1687" s="1" t="s">
        <v>594</v>
      </c>
      <c r="Q1687" s="3">
        <v>0</v>
      </c>
      <c r="S1687" s="23" t="s">
        <v>5949</v>
      </c>
      <c r="T1687" s="23" t="s">
        <v>4931</v>
      </c>
      <c r="U1687" s="3">
        <v>34</v>
      </c>
      <c r="W1687" s="45" t="str">
        <f>HYPERLINK("http://ictvonline.org/taxonomy/p/taxonomy-history?taxnode_id=201854569","ICTVonline=201854569")</f>
        <v>ICTVonline=201854569</v>
      </c>
      <c r="AA1687" s="1">
        <v>201850000</v>
      </c>
      <c r="AB1687" s="1">
        <v>34</v>
      </c>
    </row>
    <row r="1688" spans="1:28" x14ac:dyDescent="0.15">
      <c r="A1688" s="1">
        <v>4399</v>
      </c>
      <c r="B1688" s="1" t="s">
        <v>7159</v>
      </c>
      <c r="L1688" s="1" t="s">
        <v>482</v>
      </c>
      <c r="N1688" s="1" t="s">
        <v>590</v>
      </c>
      <c r="P1688" s="1" t="s">
        <v>595</v>
      </c>
      <c r="Q1688" s="3">
        <v>0</v>
      </c>
      <c r="S1688" s="23" t="s">
        <v>5949</v>
      </c>
      <c r="T1688" s="23" t="s">
        <v>4931</v>
      </c>
      <c r="U1688" s="3">
        <v>34</v>
      </c>
      <c r="W1688" s="45" t="str">
        <f>HYPERLINK("http://ictvonline.org/taxonomy/p/taxonomy-history?taxnode_id=201854570","ICTVonline=201854570")</f>
        <v>ICTVonline=201854570</v>
      </c>
      <c r="AA1688" s="1">
        <v>201850000</v>
      </c>
      <c r="AB1688" s="1">
        <v>34</v>
      </c>
    </row>
    <row r="1689" spans="1:28" x14ac:dyDescent="0.15">
      <c r="A1689" s="1">
        <v>4401</v>
      </c>
      <c r="B1689" s="1" t="s">
        <v>7159</v>
      </c>
      <c r="L1689" s="1" t="s">
        <v>482</v>
      </c>
      <c r="N1689" s="1" t="s">
        <v>590</v>
      </c>
      <c r="P1689" s="1" t="s">
        <v>2135</v>
      </c>
      <c r="Q1689" s="3">
        <v>0</v>
      </c>
      <c r="S1689" s="23" t="s">
        <v>5949</v>
      </c>
      <c r="T1689" s="23" t="s">
        <v>4931</v>
      </c>
      <c r="U1689" s="3">
        <v>34</v>
      </c>
      <c r="W1689" s="45" t="str">
        <f>HYPERLINK("http://ictvonline.org/taxonomy/p/taxonomy-history?taxnode_id=201854571","ICTVonline=201854571")</f>
        <v>ICTVonline=201854571</v>
      </c>
      <c r="AA1689" s="1">
        <v>201850000</v>
      </c>
      <c r="AB1689" s="1">
        <v>34</v>
      </c>
    </row>
    <row r="1690" spans="1:28" x14ac:dyDescent="0.15">
      <c r="A1690" s="1">
        <v>4403</v>
      </c>
      <c r="B1690" s="1" t="s">
        <v>7159</v>
      </c>
      <c r="L1690" s="1" t="s">
        <v>482</v>
      </c>
      <c r="N1690" s="1" t="s">
        <v>590</v>
      </c>
      <c r="P1690" s="1" t="s">
        <v>597</v>
      </c>
      <c r="Q1690" s="3">
        <v>0</v>
      </c>
      <c r="S1690" s="23" t="s">
        <v>5949</v>
      </c>
      <c r="T1690" s="23" t="s">
        <v>4931</v>
      </c>
      <c r="U1690" s="3">
        <v>34</v>
      </c>
      <c r="W1690" s="45" t="str">
        <f>HYPERLINK("http://ictvonline.org/taxonomy/p/taxonomy-history?taxnode_id=201854572","ICTVonline=201854572")</f>
        <v>ICTVonline=201854572</v>
      </c>
      <c r="AA1690" s="1">
        <v>201850000</v>
      </c>
      <c r="AB1690" s="1">
        <v>34</v>
      </c>
    </row>
    <row r="1691" spans="1:28" x14ac:dyDescent="0.15">
      <c r="A1691" s="1">
        <v>4405</v>
      </c>
      <c r="B1691" s="1" t="s">
        <v>7159</v>
      </c>
      <c r="L1691" s="1" t="s">
        <v>482</v>
      </c>
      <c r="N1691" s="1" t="s">
        <v>590</v>
      </c>
      <c r="P1691" s="1" t="s">
        <v>598</v>
      </c>
      <c r="Q1691" s="3">
        <v>0</v>
      </c>
      <c r="S1691" s="23" t="s">
        <v>5949</v>
      </c>
      <c r="T1691" s="23" t="s">
        <v>4931</v>
      </c>
      <c r="U1691" s="3">
        <v>34</v>
      </c>
      <c r="W1691" s="45" t="str">
        <f>HYPERLINK("http://ictvonline.org/taxonomy/p/taxonomy-history?taxnode_id=201854573","ICTVonline=201854573")</f>
        <v>ICTVonline=201854573</v>
      </c>
      <c r="AA1691" s="1">
        <v>201850000</v>
      </c>
      <c r="AB1691" s="1">
        <v>34</v>
      </c>
    </row>
    <row r="1692" spans="1:28" x14ac:dyDescent="0.15">
      <c r="A1692" s="1">
        <v>4407</v>
      </c>
      <c r="B1692" s="1" t="s">
        <v>7159</v>
      </c>
      <c r="L1692" s="1" t="s">
        <v>482</v>
      </c>
      <c r="N1692" s="1" t="s">
        <v>590</v>
      </c>
      <c r="P1692" s="1" t="s">
        <v>5528</v>
      </c>
      <c r="Q1692" s="3">
        <v>0</v>
      </c>
      <c r="S1692" s="23" t="s">
        <v>5949</v>
      </c>
      <c r="T1692" s="23" t="s">
        <v>4931</v>
      </c>
      <c r="U1692" s="3">
        <v>34</v>
      </c>
      <c r="W1692" s="45" t="str">
        <f>HYPERLINK("http://ictvonline.org/taxonomy/p/taxonomy-history?taxnode_id=201855918","ICTVonline=201855918")</f>
        <v>ICTVonline=201855918</v>
      </c>
      <c r="AA1692" s="1">
        <v>201850000</v>
      </c>
      <c r="AB1692" s="1">
        <v>34</v>
      </c>
    </row>
    <row r="1693" spans="1:28" x14ac:dyDescent="0.15">
      <c r="A1693" s="1">
        <v>4409</v>
      </c>
      <c r="B1693" s="1" t="s">
        <v>7159</v>
      </c>
      <c r="L1693" s="1" t="s">
        <v>482</v>
      </c>
      <c r="N1693" s="1" t="s">
        <v>590</v>
      </c>
      <c r="P1693" s="1" t="s">
        <v>599</v>
      </c>
      <c r="Q1693" s="3">
        <v>0</v>
      </c>
      <c r="S1693" s="23" t="s">
        <v>5949</v>
      </c>
      <c r="T1693" s="23" t="s">
        <v>4931</v>
      </c>
      <c r="U1693" s="3">
        <v>34</v>
      </c>
      <c r="W1693" s="45" t="str">
        <f>HYPERLINK("http://ictvonline.org/taxonomy/p/taxonomy-history?taxnode_id=201854574","ICTVonline=201854574")</f>
        <v>ICTVonline=201854574</v>
      </c>
      <c r="AA1693" s="1">
        <v>201850000</v>
      </c>
      <c r="AB1693" s="1">
        <v>34</v>
      </c>
    </row>
    <row r="1694" spans="1:28" x14ac:dyDescent="0.15">
      <c r="A1694" s="1">
        <v>4411</v>
      </c>
      <c r="B1694" s="1" t="s">
        <v>7159</v>
      </c>
      <c r="L1694" s="1" t="s">
        <v>482</v>
      </c>
      <c r="N1694" s="1" t="s">
        <v>590</v>
      </c>
      <c r="P1694" s="1" t="s">
        <v>600</v>
      </c>
      <c r="Q1694" s="3">
        <v>0</v>
      </c>
      <c r="S1694" s="23" t="s">
        <v>5949</v>
      </c>
      <c r="T1694" s="23" t="s">
        <v>4931</v>
      </c>
      <c r="U1694" s="3">
        <v>34</v>
      </c>
      <c r="W1694" s="45" t="str">
        <f>HYPERLINK("http://ictvonline.org/taxonomy/p/taxonomy-history?taxnode_id=201854575","ICTVonline=201854575")</f>
        <v>ICTVonline=201854575</v>
      </c>
      <c r="AA1694" s="1">
        <v>201850000</v>
      </c>
      <c r="AB1694" s="1">
        <v>34</v>
      </c>
    </row>
    <row r="1695" spans="1:28" x14ac:dyDescent="0.15">
      <c r="A1695" s="1">
        <v>4413</v>
      </c>
      <c r="B1695" s="1" t="s">
        <v>7159</v>
      </c>
      <c r="L1695" s="1" t="s">
        <v>482</v>
      </c>
      <c r="N1695" s="1" t="s">
        <v>590</v>
      </c>
      <c r="P1695" s="1" t="s">
        <v>601</v>
      </c>
      <c r="Q1695" s="3">
        <v>0</v>
      </c>
      <c r="S1695" s="23" t="s">
        <v>5949</v>
      </c>
      <c r="T1695" s="23" t="s">
        <v>4931</v>
      </c>
      <c r="U1695" s="3">
        <v>34</v>
      </c>
      <c r="W1695" s="45" t="str">
        <f>HYPERLINK("http://ictvonline.org/taxonomy/p/taxonomy-history?taxnode_id=201854576","ICTVonline=201854576")</f>
        <v>ICTVonline=201854576</v>
      </c>
      <c r="AA1695" s="1">
        <v>201850000</v>
      </c>
      <c r="AB1695" s="1">
        <v>34</v>
      </c>
    </row>
    <row r="1696" spans="1:28" x14ac:dyDescent="0.15">
      <c r="A1696" s="1">
        <v>4415</v>
      </c>
      <c r="B1696" s="1" t="s">
        <v>7159</v>
      </c>
      <c r="L1696" s="1" t="s">
        <v>482</v>
      </c>
      <c r="N1696" s="1" t="s">
        <v>590</v>
      </c>
      <c r="P1696" s="1" t="s">
        <v>602</v>
      </c>
      <c r="Q1696" s="3">
        <v>0</v>
      </c>
      <c r="S1696" s="23" t="s">
        <v>5949</v>
      </c>
      <c r="T1696" s="23" t="s">
        <v>4931</v>
      </c>
      <c r="U1696" s="3">
        <v>34</v>
      </c>
      <c r="W1696" s="45" t="str">
        <f>HYPERLINK("http://ictvonline.org/taxonomy/p/taxonomy-history?taxnode_id=201854577","ICTVonline=201854577")</f>
        <v>ICTVonline=201854577</v>
      </c>
      <c r="AA1696" s="1">
        <v>201850000</v>
      </c>
      <c r="AB1696" s="1">
        <v>34</v>
      </c>
    </row>
    <row r="1697" spans="1:28" x14ac:dyDescent="0.15">
      <c r="A1697" s="1">
        <v>4417</v>
      </c>
      <c r="B1697" s="1" t="s">
        <v>7159</v>
      </c>
      <c r="L1697" s="1" t="s">
        <v>482</v>
      </c>
      <c r="N1697" s="1" t="s">
        <v>590</v>
      </c>
      <c r="P1697" s="1" t="s">
        <v>603</v>
      </c>
      <c r="Q1697" s="3">
        <v>0</v>
      </c>
      <c r="S1697" s="23" t="s">
        <v>5949</v>
      </c>
      <c r="T1697" s="23" t="s">
        <v>4931</v>
      </c>
      <c r="U1697" s="3">
        <v>34</v>
      </c>
      <c r="W1697" s="45" t="str">
        <f>HYPERLINK("http://ictvonline.org/taxonomy/p/taxonomy-history?taxnode_id=201854578","ICTVonline=201854578")</f>
        <v>ICTVonline=201854578</v>
      </c>
      <c r="AA1697" s="1">
        <v>201850000</v>
      </c>
      <c r="AB1697" s="1">
        <v>34</v>
      </c>
    </row>
    <row r="1698" spans="1:28" x14ac:dyDescent="0.15">
      <c r="A1698" s="1">
        <v>4419</v>
      </c>
      <c r="B1698" s="1" t="s">
        <v>7159</v>
      </c>
      <c r="L1698" s="1" t="s">
        <v>482</v>
      </c>
      <c r="N1698" s="1" t="s">
        <v>590</v>
      </c>
      <c r="P1698" s="1" t="s">
        <v>2696</v>
      </c>
      <c r="Q1698" s="3">
        <v>0</v>
      </c>
      <c r="S1698" s="23" t="s">
        <v>5949</v>
      </c>
      <c r="T1698" s="23" t="s">
        <v>4931</v>
      </c>
      <c r="U1698" s="3">
        <v>34</v>
      </c>
      <c r="W1698" s="45" t="str">
        <f>HYPERLINK("http://ictvonline.org/taxonomy/p/taxonomy-history?taxnode_id=201854579","ICTVonline=201854579")</f>
        <v>ICTVonline=201854579</v>
      </c>
      <c r="AA1698" s="1">
        <v>201850000</v>
      </c>
      <c r="AB1698" s="1">
        <v>34</v>
      </c>
    </row>
    <row r="1699" spans="1:28" x14ac:dyDescent="0.15">
      <c r="A1699" s="1">
        <v>4421</v>
      </c>
      <c r="B1699" s="1" t="s">
        <v>7159</v>
      </c>
      <c r="L1699" s="1" t="s">
        <v>482</v>
      </c>
      <c r="N1699" s="1" t="s">
        <v>590</v>
      </c>
      <c r="P1699" s="1" t="s">
        <v>604</v>
      </c>
      <c r="Q1699" s="3">
        <v>0</v>
      </c>
      <c r="S1699" s="23" t="s">
        <v>5949</v>
      </c>
      <c r="T1699" s="23" t="s">
        <v>4931</v>
      </c>
      <c r="U1699" s="3">
        <v>34</v>
      </c>
      <c r="W1699" s="45" t="str">
        <f>HYPERLINK("http://ictvonline.org/taxonomy/p/taxonomy-history?taxnode_id=201854580","ICTVonline=201854580")</f>
        <v>ICTVonline=201854580</v>
      </c>
      <c r="AA1699" s="1">
        <v>201850000</v>
      </c>
      <c r="AB1699" s="1">
        <v>34</v>
      </c>
    </row>
    <row r="1700" spans="1:28" x14ac:dyDescent="0.15">
      <c r="A1700" s="1">
        <v>4423</v>
      </c>
      <c r="B1700" s="1" t="s">
        <v>7159</v>
      </c>
      <c r="L1700" s="1" t="s">
        <v>482</v>
      </c>
      <c r="N1700" s="1" t="s">
        <v>590</v>
      </c>
      <c r="P1700" s="1" t="s">
        <v>2697</v>
      </c>
      <c r="Q1700" s="3">
        <v>0</v>
      </c>
      <c r="S1700" s="23" t="s">
        <v>5949</v>
      </c>
      <c r="T1700" s="23" t="s">
        <v>4931</v>
      </c>
      <c r="U1700" s="3">
        <v>34</v>
      </c>
      <c r="W1700" s="45" t="str">
        <f>HYPERLINK("http://ictvonline.org/taxonomy/p/taxonomy-history?taxnode_id=201854581","ICTVonline=201854581")</f>
        <v>ICTVonline=201854581</v>
      </c>
      <c r="AA1700" s="1">
        <v>201850000</v>
      </c>
      <c r="AB1700" s="1">
        <v>34</v>
      </c>
    </row>
    <row r="1701" spans="1:28" x14ac:dyDescent="0.15">
      <c r="A1701" s="1">
        <v>4425</v>
      </c>
      <c r="B1701" s="1" t="s">
        <v>7159</v>
      </c>
      <c r="L1701" s="1" t="s">
        <v>482</v>
      </c>
      <c r="N1701" s="1" t="s">
        <v>590</v>
      </c>
      <c r="P1701" s="1" t="s">
        <v>2698</v>
      </c>
      <c r="Q1701" s="3">
        <v>0</v>
      </c>
      <c r="S1701" s="23" t="s">
        <v>5949</v>
      </c>
      <c r="T1701" s="23" t="s">
        <v>4931</v>
      </c>
      <c r="U1701" s="3">
        <v>34</v>
      </c>
      <c r="W1701" s="45" t="str">
        <f>HYPERLINK("http://ictvonline.org/taxonomy/p/taxonomy-history?taxnode_id=201854582","ICTVonline=201854582")</f>
        <v>ICTVonline=201854582</v>
      </c>
      <c r="AA1701" s="1">
        <v>201850000</v>
      </c>
      <c r="AB1701" s="1">
        <v>34</v>
      </c>
    </row>
    <row r="1702" spans="1:28" x14ac:dyDescent="0.15">
      <c r="A1702" s="1">
        <v>4427</v>
      </c>
      <c r="B1702" s="1" t="s">
        <v>7159</v>
      </c>
      <c r="L1702" s="1" t="s">
        <v>482</v>
      </c>
      <c r="N1702" s="1" t="s">
        <v>590</v>
      </c>
      <c r="P1702" s="1" t="s">
        <v>2136</v>
      </c>
      <c r="Q1702" s="3">
        <v>0</v>
      </c>
      <c r="S1702" s="23" t="s">
        <v>5949</v>
      </c>
      <c r="T1702" s="23" t="s">
        <v>4931</v>
      </c>
      <c r="U1702" s="3">
        <v>34</v>
      </c>
      <c r="W1702" s="45" t="str">
        <f>HYPERLINK("http://ictvonline.org/taxonomy/p/taxonomy-history?taxnode_id=201854583","ICTVonline=201854583")</f>
        <v>ICTVonline=201854583</v>
      </c>
      <c r="AA1702" s="1">
        <v>201850000</v>
      </c>
      <c r="AB1702" s="1">
        <v>34</v>
      </c>
    </row>
    <row r="1703" spans="1:28" x14ac:dyDescent="0.15">
      <c r="A1703" s="1">
        <v>4429</v>
      </c>
      <c r="B1703" s="1" t="s">
        <v>7159</v>
      </c>
      <c r="L1703" s="1" t="s">
        <v>482</v>
      </c>
      <c r="N1703" s="1" t="s">
        <v>590</v>
      </c>
      <c r="P1703" s="1" t="s">
        <v>2112</v>
      </c>
      <c r="Q1703" s="3">
        <v>0</v>
      </c>
      <c r="S1703" s="23" t="s">
        <v>5949</v>
      </c>
      <c r="T1703" s="23" t="s">
        <v>4931</v>
      </c>
      <c r="U1703" s="3">
        <v>34</v>
      </c>
      <c r="W1703" s="45" t="str">
        <f>HYPERLINK("http://ictvonline.org/taxonomy/p/taxonomy-history?taxnode_id=201854584","ICTVonline=201854584")</f>
        <v>ICTVonline=201854584</v>
      </c>
      <c r="AA1703" s="1">
        <v>201850000</v>
      </c>
      <c r="AB1703" s="1">
        <v>34</v>
      </c>
    </row>
    <row r="1704" spans="1:28" x14ac:dyDescent="0.15">
      <c r="A1704" s="1">
        <v>4431</v>
      </c>
      <c r="B1704" s="1" t="s">
        <v>7159</v>
      </c>
      <c r="L1704" s="1" t="s">
        <v>482</v>
      </c>
      <c r="N1704" s="1" t="s">
        <v>590</v>
      </c>
      <c r="P1704" s="1" t="s">
        <v>1574</v>
      </c>
      <c r="Q1704" s="3">
        <v>0</v>
      </c>
      <c r="S1704" s="23" t="s">
        <v>5949</v>
      </c>
      <c r="T1704" s="23" t="s">
        <v>4931</v>
      </c>
      <c r="U1704" s="3">
        <v>34</v>
      </c>
      <c r="W1704" s="45" t="str">
        <f>HYPERLINK("http://ictvonline.org/taxonomy/p/taxonomy-history?taxnode_id=201854585","ICTVonline=201854585")</f>
        <v>ICTVonline=201854585</v>
      </c>
      <c r="AA1704" s="1">
        <v>201850000</v>
      </c>
      <c r="AB1704" s="1">
        <v>34</v>
      </c>
    </row>
    <row r="1705" spans="1:28" x14ac:dyDescent="0.15">
      <c r="A1705" s="1">
        <v>4433</v>
      </c>
      <c r="B1705" s="1" t="s">
        <v>7159</v>
      </c>
      <c r="L1705" s="1" t="s">
        <v>482</v>
      </c>
      <c r="N1705" s="1" t="s">
        <v>590</v>
      </c>
      <c r="P1705" s="1" t="s">
        <v>2699</v>
      </c>
      <c r="Q1705" s="3">
        <v>0</v>
      </c>
      <c r="S1705" s="23" t="s">
        <v>5949</v>
      </c>
      <c r="T1705" s="23" t="s">
        <v>4931</v>
      </c>
      <c r="U1705" s="3">
        <v>34</v>
      </c>
      <c r="W1705" s="45" t="str">
        <f>HYPERLINK("http://ictvonline.org/taxonomy/p/taxonomy-history?taxnode_id=201854586","ICTVonline=201854586")</f>
        <v>ICTVonline=201854586</v>
      </c>
      <c r="AA1705" s="1">
        <v>201850000</v>
      </c>
      <c r="AB1705" s="1">
        <v>34</v>
      </c>
    </row>
    <row r="1706" spans="1:28" x14ac:dyDescent="0.15">
      <c r="A1706" s="1">
        <v>4435</v>
      </c>
      <c r="B1706" s="1" t="s">
        <v>7159</v>
      </c>
      <c r="L1706" s="1" t="s">
        <v>482</v>
      </c>
      <c r="N1706" s="1" t="s">
        <v>590</v>
      </c>
      <c r="P1706" s="1" t="s">
        <v>5529</v>
      </c>
      <c r="Q1706" s="3">
        <v>0</v>
      </c>
      <c r="S1706" s="23" t="s">
        <v>5949</v>
      </c>
      <c r="T1706" s="23" t="s">
        <v>4931</v>
      </c>
      <c r="U1706" s="3">
        <v>34</v>
      </c>
      <c r="W1706" s="45" t="str">
        <f>HYPERLINK("http://ictvonline.org/taxonomy/p/taxonomy-history?taxnode_id=201855919","ICTVonline=201855919")</f>
        <v>ICTVonline=201855919</v>
      </c>
      <c r="AA1706" s="1">
        <v>201850000</v>
      </c>
      <c r="AB1706" s="1">
        <v>34</v>
      </c>
    </row>
    <row r="1707" spans="1:28" x14ac:dyDescent="0.15">
      <c r="A1707" s="1">
        <v>4437</v>
      </c>
      <c r="B1707" s="1" t="s">
        <v>7159</v>
      </c>
      <c r="L1707" s="1" t="s">
        <v>482</v>
      </c>
      <c r="N1707" s="1" t="s">
        <v>590</v>
      </c>
      <c r="P1707" s="1" t="s">
        <v>2113</v>
      </c>
      <c r="Q1707" s="3">
        <v>0</v>
      </c>
      <c r="S1707" s="23" t="s">
        <v>5949</v>
      </c>
      <c r="T1707" s="23" t="s">
        <v>4931</v>
      </c>
      <c r="U1707" s="3">
        <v>34</v>
      </c>
      <c r="W1707" s="45" t="str">
        <f>HYPERLINK("http://ictvonline.org/taxonomy/p/taxonomy-history?taxnode_id=201854587","ICTVonline=201854587")</f>
        <v>ICTVonline=201854587</v>
      </c>
      <c r="AA1707" s="1">
        <v>201850000</v>
      </c>
      <c r="AB1707" s="1">
        <v>34</v>
      </c>
    </row>
    <row r="1708" spans="1:28" x14ac:dyDescent="0.15">
      <c r="A1708" s="1">
        <v>4439</v>
      </c>
      <c r="B1708" s="1" t="s">
        <v>7159</v>
      </c>
      <c r="L1708" s="1" t="s">
        <v>482</v>
      </c>
      <c r="N1708" s="1" t="s">
        <v>590</v>
      </c>
      <c r="P1708" s="4" t="s">
        <v>1575</v>
      </c>
      <c r="Q1708" s="3">
        <v>0</v>
      </c>
      <c r="R1708" s="24"/>
      <c r="S1708" s="24" t="s">
        <v>5949</v>
      </c>
      <c r="T1708" s="24" t="s">
        <v>4931</v>
      </c>
      <c r="U1708" s="3">
        <v>34</v>
      </c>
      <c r="W1708" s="45" t="str">
        <f>HYPERLINK("http://ictvonline.org/taxonomy/p/taxonomy-history?taxnode_id=201854588","ICTVonline=201854588")</f>
        <v>ICTVonline=201854588</v>
      </c>
      <c r="AA1708" s="1">
        <v>201850000</v>
      </c>
      <c r="AB1708" s="1">
        <v>34</v>
      </c>
    </row>
    <row r="1709" spans="1:28" x14ac:dyDescent="0.15">
      <c r="A1709" s="1">
        <v>4441</v>
      </c>
      <c r="B1709" s="1" t="s">
        <v>7159</v>
      </c>
      <c r="L1709" s="1" t="s">
        <v>482</v>
      </c>
      <c r="N1709" s="1" t="s">
        <v>590</v>
      </c>
      <c r="P1709" s="1" t="s">
        <v>1576</v>
      </c>
      <c r="Q1709" s="3">
        <v>0</v>
      </c>
      <c r="S1709" s="23" t="s">
        <v>5949</v>
      </c>
      <c r="T1709" s="23" t="s">
        <v>4931</v>
      </c>
      <c r="U1709" s="3">
        <v>34</v>
      </c>
      <c r="W1709" s="45" t="str">
        <f>HYPERLINK("http://ictvonline.org/taxonomy/p/taxonomy-history?taxnode_id=201854589","ICTVonline=201854589")</f>
        <v>ICTVonline=201854589</v>
      </c>
      <c r="AA1709" s="1">
        <v>201850000</v>
      </c>
      <c r="AB1709" s="1">
        <v>34</v>
      </c>
    </row>
    <row r="1710" spans="1:28" x14ac:dyDescent="0.15">
      <c r="A1710" s="1">
        <v>4443</v>
      </c>
      <c r="B1710" s="1" t="s">
        <v>7159</v>
      </c>
      <c r="L1710" s="1" t="s">
        <v>482</v>
      </c>
      <c r="N1710" s="1" t="s">
        <v>590</v>
      </c>
      <c r="P1710" s="1" t="s">
        <v>1577</v>
      </c>
      <c r="Q1710" s="3">
        <v>0</v>
      </c>
      <c r="S1710" s="23" t="s">
        <v>5949</v>
      </c>
      <c r="T1710" s="23" t="s">
        <v>4931</v>
      </c>
      <c r="U1710" s="3">
        <v>34</v>
      </c>
      <c r="W1710" s="45" t="str">
        <f>HYPERLINK("http://ictvonline.org/taxonomy/p/taxonomy-history?taxnode_id=201854590","ICTVonline=201854590")</f>
        <v>ICTVonline=201854590</v>
      </c>
      <c r="AA1710" s="1">
        <v>201850000</v>
      </c>
      <c r="AB1710" s="1">
        <v>34</v>
      </c>
    </row>
    <row r="1711" spans="1:28" x14ac:dyDescent="0.15">
      <c r="A1711" s="1">
        <v>4445</v>
      </c>
      <c r="B1711" s="1" t="s">
        <v>7159</v>
      </c>
      <c r="L1711" s="1" t="s">
        <v>482</v>
      </c>
      <c r="N1711" s="1" t="s">
        <v>590</v>
      </c>
      <c r="P1711" s="1" t="s">
        <v>4001</v>
      </c>
      <c r="Q1711" s="3">
        <v>0</v>
      </c>
      <c r="S1711" s="23" t="s">
        <v>5949</v>
      </c>
      <c r="T1711" s="23" t="s">
        <v>4931</v>
      </c>
      <c r="U1711" s="3">
        <v>34</v>
      </c>
      <c r="W1711" s="45" t="str">
        <f>HYPERLINK("http://ictvonline.org/taxonomy/p/taxonomy-history?taxnode_id=201854591","ICTVonline=201854591")</f>
        <v>ICTVonline=201854591</v>
      </c>
      <c r="AA1711" s="1">
        <v>201850000</v>
      </c>
      <c r="AB1711" s="1">
        <v>34</v>
      </c>
    </row>
    <row r="1712" spans="1:28" x14ac:dyDescent="0.15">
      <c r="A1712" s="1">
        <v>4447</v>
      </c>
      <c r="B1712" s="1" t="s">
        <v>7159</v>
      </c>
      <c r="L1712" s="1" t="s">
        <v>482</v>
      </c>
      <c r="N1712" s="1" t="s">
        <v>590</v>
      </c>
      <c r="P1712" s="1" t="s">
        <v>1578</v>
      </c>
      <c r="Q1712" s="3">
        <v>0</v>
      </c>
      <c r="S1712" s="23" t="s">
        <v>5949</v>
      </c>
      <c r="T1712" s="23" t="s">
        <v>4931</v>
      </c>
      <c r="U1712" s="3">
        <v>34</v>
      </c>
      <c r="W1712" s="45" t="str">
        <f>HYPERLINK("http://ictvonline.org/taxonomy/p/taxonomy-history?taxnode_id=201854592","ICTVonline=201854592")</f>
        <v>ICTVonline=201854592</v>
      </c>
      <c r="AA1712" s="1">
        <v>201850000</v>
      </c>
      <c r="AB1712" s="1">
        <v>34</v>
      </c>
    </row>
    <row r="1713" spans="1:28" x14ac:dyDescent="0.15">
      <c r="A1713" s="1">
        <v>4449</v>
      </c>
      <c r="B1713" s="1" t="s">
        <v>7159</v>
      </c>
      <c r="L1713" s="1" t="s">
        <v>482</v>
      </c>
      <c r="N1713" s="1" t="s">
        <v>590</v>
      </c>
      <c r="P1713" s="1" t="s">
        <v>1579</v>
      </c>
      <c r="Q1713" s="3">
        <v>0</v>
      </c>
      <c r="S1713" s="23" t="s">
        <v>5949</v>
      </c>
      <c r="T1713" s="23" t="s">
        <v>4931</v>
      </c>
      <c r="U1713" s="3">
        <v>34</v>
      </c>
      <c r="W1713" s="45" t="str">
        <f>HYPERLINK("http://ictvonline.org/taxonomy/p/taxonomy-history?taxnode_id=201854593","ICTVonline=201854593")</f>
        <v>ICTVonline=201854593</v>
      </c>
      <c r="AA1713" s="1">
        <v>201850000</v>
      </c>
      <c r="AB1713" s="1">
        <v>34</v>
      </c>
    </row>
    <row r="1714" spans="1:28" x14ac:dyDescent="0.15">
      <c r="A1714" s="1">
        <v>4451</v>
      </c>
      <c r="B1714" s="1" t="s">
        <v>7159</v>
      </c>
      <c r="L1714" s="1" t="s">
        <v>482</v>
      </c>
      <c r="N1714" s="1" t="s">
        <v>590</v>
      </c>
      <c r="P1714" s="1" t="s">
        <v>2137</v>
      </c>
      <c r="Q1714" s="3">
        <v>0</v>
      </c>
      <c r="S1714" s="23" t="s">
        <v>5949</v>
      </c>
      <c r="T1714" s="23" t="s">
        <v>4931</v>
      </c>
      <c r="U1714" s="3">
        <v>34</v>
      </c>
      <c r="W1714" s="45" t="str">
        <f>HYPERLINK("http://ictvonline.org/taxonomy/p/taxonomy-history?taxnode_id=201854594","ICTVonline=201854594")</f>
        <v>ICTVonline=201854594</v>
      </c>
      <c r="AA1714" s="1">
        <v>201850000</v>
      </c>
      <c r="AB1714" s="1">
        <v>34</v>
      </c>
    </row>
    <row r="1715" spans="1:28" x14ac:dyDescent="0.15">
      <c r="A1715" s="1">
        <v>4453</v>
      </c>
      <c r="B1715" s="1" t="s">
        <v>7159</v>
      </c>
      <c r="L1715" s="1" t="s">
        <v>482</v>
      </c>
      <c r="N1715" s="1" t="s">
        <v>590</v>
      </c>
      <c r="P1715" s="1" t="s">
        <v>1580</v>
      </c>
      <c r="Q1715" s="3">
        <v>0</v>
      </c>
      <c r="S1715" s="23" t="s">
        <v>5949</v>
      </c>
      <c r="T1715" s="23" t="s">
        <v>4931</v>
      </c>
      <c r="U1715" s="3">
        <v>34</v>
      </c>
      <c r="W1715" s="45" t="str">
        <f>HYPERLINK("http://ictvonline.org/taxonomy/p/taxonomy-history?taxnode_id=201854595","ICTVonline=201854595")</f>
        <v>ICTVonline=201854595</v>
      </c>
      <c r="AA1715" s="1">
        <v>201850000</v>
      </c>
      <c r="AB1715" s="1">
        <v>34</v>
      </c>
    </row>
    <row r="1716" spans="1:28" x14ac:dyDescent="0.15">
      <c r="A1716" s="1">
        <v>4455</v>
      </c>
      <c r="B1716" s="1" t="s">
        <v>7159</v>
      </c>
      <c r="L1716" s="1" t="s">
        <v>482</v>
      </c>
      <c r="N1716" s="1" t="s">
        <v>590</v>
      </c>
      <c r="P1716" s="1" t="s">
        <v>1581</v>
      </c>
      <c r="Q1716" s="3">
        <v>0</v>
      </c>
      <c r="S1716" s="23" t="s">
        <v>5949</v>
      </c>
      <c r="T1716" s="23" t="s">
        <v>4931</v>
      </c>
      <c r="U1716" s="3">
        <v>34</v>
      </c>
      <c r="W1716" s="45" t="str">
        <f>HYPERLINK("http://ictvonline.org/taxonomy/p/taxonomy-history?taxnode_id=201854596","ICTVonline=201854596")</f>
        <v>ICTVonline=201854596</v>
      </c>
      <c r="AA1716" s="1">
        <v>201850000</v>
      </c>
      <c r="AB1716" s="1">
        <v>34</v>
      </c>
    </row>
    <row r="1717" spans="1:28" x14ac:dyDescent="0.15">
      <c r="A1717" s="1">
        <v>4457</v>
      </c>
      <c r="B1717" s="1" t="s">
        <v>7159</v>
      </c>
      <c r="L1717" s="1" t="s">
        <v>482</v>
      </c>
      <c r="N1717" s="1" t="s">
        <v>590</v>
      </c>
      <c r="P1717" s="1" t="s">
        <v>1582</v>
      </c>
      <c r="Q1717" s="3">
        <v>0</v>
      </c>
      <c r="S1717" s="23" t="s">
        <v>5949</v>
      </c>
      <c r="T1717" s="23" t="s">
        <v>4931</v>
      </c>
      <c r="U1717" s="3">
        <v>34</v>
      </c>
      <c r="W1717" s="45" t="str">
        <f>HYPERLINK("http://ictvonline.org/taxonomy/p/taxonomy-history?taxnode_id=201854597","ICTVonline=201854597")</f>
        <v>ICTVonline=201854597</v>
      </c>
      <c r="AA1717" s="1">
        <v>201850000</v>
      </c>
      <c r="AB1717" s="1">
        <v>34</v>
      </c>
    </row>
    <row r="1718" spans="1:28" x14ac:dyDescent="0.15">
      <c r="A1718" s="1">
        <v>4459</v>
      </c>
      <c r="B1718" s="1" t="s">
        <v>7159</v>
      </c>
      <c r="L1718" s="1" t="s">
        <v>482</v>
      </c>
      <c r="N1718" s="1" t="s">
        <v>590</v>
      </c>
      <c r="P1718" s="1" t="s">
        <v>1583</v>
      </c>
      <c r="Q1718" s="3">
        <v>0</v>
      </c>
      <c r="S1718" s="23" t="s">
        <v>5949</v>
      </c>
      <c r="T1718" s="23" t="s">
        <v>4931</v>
      </c>
      <c r="U1718" s="3">
        <v>34</v>
      </c>
      <c r="W1718" s="45" t="str">
        <f>HYPERLINK("http://ictvonline.org/taxonomy/p/taxonomy-history?taxnode_id=201854598","ICTVonline=201854598")</f>
        <v>ICTVonline=201854598</v>
      </c>
      <c r="AA1718" s="1">
        <v>201850000</v>
      </c>
      <c r="AB1718" s="1">
        <v>34</v>
      </c>
    </row>
    <row r="1719" spans="1:28" x14ac:dyDescent="0.15">
      <c r="A1719" s="1">
        <v>4461</v>
      </c>
      <c r="B1719" s="1" t="s">
        <v>7159</v>
      </c>
      <c r="L1719" s="1" t="s">
        <v>482</v>
      </c>
      <c r="N1719" s="1" t="s">
        <v>590</v>
      </c>
      <c r="P1719" s="1" t="s">
        <v>2094</v>
      </c>
      <c r="Q1719" s="3">
        <v>0</v>
      </c>
      <c r="S1719" s="23" t="s">
        <v>5949</v>
      </c>
      <c r="T1719" s="23" t="s">
        <v>4931</v>
      </c>
      <c r="U1719" s="26">
        <v>34</v>
      </c>
      <c r="V1719" s="26"/>
      <c r="W1719" s="45" t="str">
        <f>HYPERLINK("http://ictvonline.org/taxonomy/p/taxonomy-history?taxnode_id=201854599","ICTVonline=201854599")</f>
        <v>ICTVonline=201854599</v>
      </c>
      <c r="AA1719" s="1">
        <v>201850000</v>
      </c>
      <c r="AB1719" s="1">
        <v>34</v>
      </c>
    </row>
    <row r="1720" spans="1:28" x14ac:dyDescent="0.15">
      <c r="A1720" s="1">
        <v>4463</v>
      </c>
      <c r="B1720" s="1" t="s">
        <v>7159</v>
      </c>
      <c r="L1720" s="1" t="s">
        <v>482</v>
      </c>
      <c r="N1720" s="1" t="s">
        <v>590</v>
      </c>
      <c r="P1720" s="1" t="s">
        <v>2095</v>
      </c>
      <c r="Q1720" s="3">
        <v>0</v>
      </c>
      <c r="S1720" s="23" t="s">
        <v>5949</v>
      </c>
      <c r="T1720" s="23" t="s">
        <v>4931</v>
      </c>
      <c r="U1720" s="3">
        <v>34</v>
      </c>
      <c r="W1720" s="45" t="str">
        <f>HYPERLINK("http://ictvonline.org/taxonomy/p/taxonomy-history?taxnode_id=201854600","ICTVonline=201854600")</f>
        <v>ICTVonline=201854600</v>
      </c>
      <c r="AA1720" s="1">
        <v>201850000</v>
      </c>
      <c r="AB1720" s="1">
        <v>34</v>
      </c>
    </row>
    <row r="1721" spans="1:28" x14ac:dyDescent="0.15">
      <c r="A1721" s="1">
        <v>4465</v>
      </c>
      <c r="B1721" s="1" t="s">
        <v>7159</v>
      </c>
      <c r="L1721" s="1" t="s">
        <v>482</v>
      </c>
      <c r="N1721" s="1" t="s">
        <v>590</v>
      </c>
      <c r="P1721" s="1" t="s">
        <v>2096</v>
      </c>
      <c r="Q1721" s="3">
        <v>0</v>
      </c>
      <c r="S1721" s="23" t="s">
        <v>5949</v>
      </c>
      <c r="T1721" s="23" t="s">
        <v>4931</v>
      </c>
      <c r="U1721" s="3">
        <v>34</v>
      </c>
      <c r="W1721" s="45" t="str">
        <f>HYPERLINK("http://ictvonline.org/taxonomy/p/taxonomy-history?taxnode_id=201854601","ICTVonline=201854601")</f>
        <v>ICTVonline=201854601</v>
      </c>
      <c r="AA1721" s="1">
        <v>201850000</v>
      </c>
      <c r="AB1721" s="1">
        <v>34</v>
      </c>
    </row>
    <row r="1722" spans="1:28" x14ac:dyDescent="0.15">
      <c r="A1722" s="1">
        <v>4467</v>
      </c>
      <c r="B1722" s="1" t="s">
        <v>7159</v>
      </c>
      <c r="L1722" s="1" t="s">
        <v>482</v>
      </c>
      <c r="N1722" s="1" t="s">
        <v>590</v>
      </c>
      <c r="P1722" s="1" t="s">
        <v>2097</v>
      </c>
      <c r="Q1722" s="3">
        <v>0</v>
      </c>
      <c r="S1722" s="23" t="s">
        <v>5949</v>
      </c>
      <c r="T1722" s="23" t="s">
        <v>4931</v>
      </c>
      <c r="U1722" s="3">
        <v>34</v>
      </c>
      <c r="W1722" s="45" t="str">
        <f>HYPERLINK("http://ictvonline.org/taxonomy/p/taxonomy-history?taxnode_id=201854602","ICTVonline=201854602")</f>
        <v>ICTVonline=201854602</v>
      </c>
      <c r="AA1722" s="1">
        <v>201850000</v>
      </c>
      <c r="AB1722" s="1">
        <v>34</v>
      </c>
    </row>
    <row r="1723" spans="1:28" x14ac:dyDescent="0.15">
      <c r="A1723" s="1">
        <v>4469</v>
      </c>
      <c r="B1723" s="1" t="s">
        <v>7159</v>
      </c>
      <c r="L1723" s="1" t="s">
        <v>482</v>
      </c>
      <c r="N1723" s="1" t="s">
        <v>590</v>
      </c>
      <c r="P1723" s="1" t="s">
        <v>7137</v>
      </c>
      <c r="Q1723" s="3">
        <v>0</v>
      </c>
      <c r="S1723" s="23" t="s">
        <v>5949</v>
      </c>
      <c r="T1723" s="23" t="s">
        <v>4929</v>
      </c>
      <c r="U1723" s="3">
        <v>34</v>
      </c>
      <c r="V1723" s="3" t="s">
        <v>7136</v>
      </c>
      <c r="W1723" s="45" t="str">
        <f>HYPERLINK("http://ictvonline.org/taxonomy/p/taxonomy-history?taxnode_id=201856672","ICTVonline=201856672")</f>
        <v>ICTVonline=201856672</v>
      </c>
      <c r="AA1723" s="1">
        <v>201850000</v>
      </c>
      <c r="AB1723" s="1">
        <v>34</v>
      </c>
    </row>
    <row r="1724" spans="1:28" x14ac:dyDescent="0.15">
      <c r="A1724" s="1">
        <v>4471</v>
      </c>
      <c r="B1724" s="1" t="s">
        <v>7159</v>
      </c>
      <c r="L1724" s="1" t="s">
        <v>482</v>
      </c>
      <c r="N1724" s="1" t="s">
        <v>590</v>
      </c>
      <c r="P1724" s="1" t="s">
        <v>2098</v>
      </c>
      <c r="Q1724" s="3">
        <v>0</v>
      </c>
      <c r="S1724" s="23" t="s">
        <v>5949</v>
      </c>
      <c r="T1724" s="23" t="s">
        <v>4931</v>
      </c>
      <c r="U1724" s="3">
        <v>34</v>
      </c>
      <c r="W1724" s="45" t="str">
        <f>HYPERLINK("http://ictvonline.org/taxonomy/p/taxonomy-history?taxnode_id=201854603","ICTVonline=201854603")</f>
        <v>ICTVonline=201854603</v>
      </c>
      <c r="AA1724" s="1">
        <v>201850000</v>
      </c>
      <c r="AB1724" s="1">
        <v>34</v>
      </c>
    </row>
    <row r="1725" spans="1:28" x14ac:dyDescent="0.15">
      <c r="A1725" s="1">
        <v>4473</v>
      </c>
      <c r="B1725" s="1" t="s">
        <v>7159</v>
      </c>
      <c r="L1725" s="1" t="s">
        <v>482</v>
      </c>
      <c r="N1725" s="1" t="s">
        <v>590</v>
      </c>
      <c r="P1725" s="1" t="s">
        <v>2700</v>
      </c>
      <c r="Q1725" s="3">
        <v>0</v>
      </c>
      <c r="S1725" s="23" t="s">
        <v>5949</v>
      </c>
      <c r="T1725" s="23" t="s">
        <v>4931</v>
      </c>
      <c r="U1725" s="3">
        <v>34</v>
      </c>
      <c r="W1725" s="45" t="str">
        <f>HYPERLINK("http://ictvonline.org/taxonomy/p/taxonomy-history?taxnode_id=201854604","ICTVonline=201854604")</f>
        <v>ICTVonline=201854604</v>
      </c>
      <c r="AA1725" s="1">
        <v>201850000</v>
      </c>
      <c r="AB1725" s="1">
        <v>34</v>
      </c>
    </row>
    <row r="1726" spans="1:28" x14ac:dyDescent="0.15">
      <c r="A1726" s="1">
        <v>4475</v>
      </c>
      <c r="B1726" s="1" t="s">
        <v>7159</v>
      </c>
      <c r="L1726" s="1" t="s">
        <v>482</v>
      </c>
      <c r="N1726" s="1" t="s">
        <v>590</v>
      </c>
      <c r="P1726" s="1" t="s">
        <v>2099</v>
      </c>
      <c r="Q1726" s="3">
        <v>0</v>
      </c>
      <c r="S1726" s="23" t="s">
        <v>5949</v>
      </c>
      <c r="T1726" s="23" t="s">
        <v>4931</v>
      </c>
      <c r="U1726" s="3">
        <v>34</v>
      </c>
      <c r="W1726" s="45" t="str">
        <f>HYPERLINK("http://ictvonline.org/taxonomy/p/taxonomy-history?taxnode_id=201854605","ICTVonline=201854605")</f>
        <v>ICTVonline=201854605</v>
      </c>
      <c r="AA1726" s="1">
        <v>201850000</v>
      </c>
      <c r="AB1726" s="1">
        <v>34</v>
      </c>
    </row>
    <row r="1727" spans="1:28" x14ac:dyDescent="0.15">
      <c r="A1727" s="1">
        <v>4477</v>
      </c>
      <c r="B1727" s="1" t="s">
        <v>7159</v>
      </c>
      <c r="L1727" s="1" t="s">
        <v>482</v>
      </c>
      <c r="N1727" s="1" t="s">
        <v>590</v>
      </c>
      <c r="P1727" s="1" t="s">
        <v>5530</v>
      </c>
      <c r="Q1727" s="3">
        <v>0</v>
      </c>
      <c r="S1727" s="23" t="s">
        <v>5949</v>
      </c>
      <c r="T1727" s="23" t="s">
        <v>4931</v>
      </c>
      <c r="U1727" s="3">
        <v>34</v>
      </c>
      <c r="W1727" s="45" t="str">
        <f>HYPERLINK("http://ictvonline.org/taxonomy/p/taxonomy-history?taxnode_id=201855920","ICTVonline=201855920")</f>
        <v>ICTVonline=201855920</v>
      </c>
      <c r="AA1727" s="1">
        <v>201850000</v>
      </c>
      <c r="AB1727" s="1">
        <v>34</v>
      </c>
    </row>
    <row r="1728" spans="1:28" x14ac:dyDescent="0.15">
      <c r="A1728" s="1">
        <v>4479</v>
      </c>
      <c r="B1728" s="1" t="s">
        <v>7159</v>
      </c>
      <c r="L1728" s="1" t="s">
        <v>482</v>
      </c>
      <c r="N1728" s="1" t="s">
        <v>590</v>
      </c>
      <c r="P1728" s="1" t="s">
        <v>2100</v>
      </c>
      <c r="Q1728" s="3">
        <v>0</v>
      </c>
      <c r="S1728" s="23" t="s">
        <v>5949</v>
      </c>
      <c r="T1728" s="23" t="s">
        <v>4931</v>
      </c>
      <c r="U1728" s="3">
        <v>34</v>
      </c>
      <c r="W1728" s="45" t="str">
        <f>HYPERLINK("http://ictvonline.org/taxonomy/p/taxonomy-history?taxnode_id=201854606","ICTVonline=201854606")</f>
        <v>ICTVonline=201854606</v>
      </c>
      <c r="AA1728" s="1">
        <v>201850000</v>
      </c>
      <c r="AB1728" s="1">
        <v>34</v>
      </c>
    </row>
    <row r="1729" spans="1:28" x14ac:dyDescent="0.15">
      <c r="A1729" s="1">
        <v>4481</v>
      </c>
      <c r="B1729" s="1" t="s">
        <v>7159</v>
      </c>
      <c r="L1729" s="1" t="s">
        <v>482</v>
      </c>
      <c r="N1729" s="1" t="s">
        <v>590</v>
      </c>
      <c r="P1729" s="1" t="s">
        <v>2101</v>
      </c>
      <c r="Q1729" s="3">
        <v>0</v>
      </c>
      <c r="S1729" s="23" t="s">
        <v>5949</v>
      </c>
      <c r="T1729" s="23" t="s">
        <v>4931</v>
      </c>
      <c r="U1729" s="3">
        <v>34</v>
      </c>
      <c r="W1729" s="45" t="str">
        <f>HYPERLINK("http://ictvonline.org/taxonomy/p/taxonomy-history?taxnode_id=201854607","ICTVonline=201854607")</f>
        <v>ICTVonline=201854607</v>
      </c>
      <c r="AA1729" s="1">
        <v>201850000</v>
      </c>
      <c r="AB1729" s="1">
        <v>34</v>
      </c>
    </row>
    <row r="1730" spans="1:28" x14ac:dyDescent="0.15">
      <c r="A1730" s="1">
        <v>4483</v>
      </c>
      <c r="B1730" s="1" t="s">
        <v>7159</v>
      </c>
      <c r="L1730" s="1" t="s">
        <v>482</v>
      </c>
      <c r="N1730" s="1" t="s">
        <v>590</v>
      </c>
      <c r="P1730" s="1" t="s">
        <v>2102</v>
      </c>
      <c r="Q1730" s="3">
        <v>0</v>
      </c>
      <c r="S1730" s="23" t="s">
        <v>5949</v>
      </c>
      <c r="T1730" s="23" t="s">
        <v>4931</v>
      </c>
      <c r="U1730" s="3">
        <v>34</v>
      </c>
      <c r="W1730" s="45" t="str">
        <f>HYPERLINK("http://ictvonline.org/taxonomy/p/taxonomy-history?taxnode_id=201854608","ICTVonline=201854608")</f>
        <v>ICTVonline=201854608</v>
      </c>
      <c r="AA1730" s="1">
        <v>201850000</v>
      </c>
      <c r="AB1730" s="1">
        <v>34</v>
      </c>
    </row>
    <row r="1731" spans="1:28" x14ac:dyDescent="0.15">
      <c r="A1731" s="1">
        <v>4485</v>
      </c>
      <c r="B1731" s="1" t="s">
        <v>7159</v>
      </c>
      <c r="L1731" s="1" t="s">
        <v>482</v>
      </c>
      <c r="N1731" s="1" t="s">
        <v>590</v>
      </c>
      <c r="P1731" s="1" t="s">
        <v>4002</v>
      </c>
      <c r="Q1731" s="3">
        <v>0</v>
      </c>
      <c r="S1731" s="23" t="s">
        <v>5949</v>
      </c>
      <c r="T1731" s="23" t="s">
        <v>4931</v>
      </c>
      <c r="U1731" s="3">
        <v>34</v>
      </c>
      <c r="W1731" s="45" t="str">
        <f>HYPERLINK("http://ictvonline.org/taxonomy/p/taxonomy-history?taxnode_id=201854609","ICTVonline=201854609")</f>
        <v>ICTVonline=201854609</v>
      </c>
      <c r="AA1731" s="1">
        <v>201850000</v>
      </c>
      <c r="AB1731" s="1">
        <v>34</v>
      </c>
    </row>
    <row r="1732" spans="1:28" x14ac:dyDescent="0.15">
      <c r="A1732" s="1">
        <v>4487</v>
      </c>
      <c r="B1732" s="1" t="s">
        <v>7159</v>
      </c>
      <c r="L1732" s="1" t="s">
        <v>482</v>
      </c>
      <c r="N1732" s="1" t="s">
        <v>590</v>
      </c>
      <c r="P1732" s="1" t="s">
        <v>2103</v>
      </c>
      <c r="Q1732" s="3">
        <v>0</v>
      </c>
      <c r="S1732" s="23" t="s">
        <v>5949</v>
      </c>
      <c r="T1732" s="23" t="s">
        <v>4931</v>
      </c>
      <c r="U1732" s="3">
        <v>34</v>
      </c>
      <c r="W1732" s="45" t="str">
        <f>HYPERLINK("http://ictvonline.org/taxonomy/p/taxonomy-history?taxnode_id=201854610","ICTVonline=201854610")</f>
        <v>ICTVonline=201854610</v>
      </c>
      <c r="AA1732" s="1">
        <v>201850000</v>
      </c>
      <c r="AB1732" s="1">
        <v>34</v>
      </c>
    </row>
    <row r="1733" spans="1:28" x14ac:dyDescent="0.15">
      <c r="A1733" s="1">
        <v>4489</v>
      </c>
      <c r="B1733" s="1" t="s">
        <v>7159</v>
      </c>
      <c r="L1733" s="1" t="s">
        <v>482</v>
      </c>
      <c r="N1733" s="1" t="s">
        <v>590</v>
      </c>
      <c r="P1733" s="1" t="s">
        <v>2104</v>
      </c>
      <c r="Q1733" s="3">
        <v>0</v>
      </c>
      <c r="S1733" s="23" t="s">
        <v>5949</v>
      </c>
      <c r="T1733" s="23" t="s">
        <v>4931</v>
      </c>
      <c r="U1733" s="3">
        <v>34</v>
      </c>
      <c r="W1733" s="45" t="str">
        <f>HYPERLINK("http://ictvonline.org/taxonomy/p/taxonomy-history?taxnode_id=201854611","ICTVonline=201854611")</f>
        <v>ICTVonline=201854611</v>
      </c>
      <c r="AA1733" s="1">
        <v>201850000</v>
      </c>
      <c r="AB1733" s="1">
        <v>34</v>
      </c>
    </row>
    <row r="1734" spans="1:28" x14ac:dyDescent="0.15">
      <c r="A1734" s="1">
        <v>4491</v>
      </c>
      <c r="B1734" s="1" t="s">
        <v>7159</v>
      </c>
      <c r="L1734" s="1" t="s">
        <v>482</v>
      </c>
      <c r="N1734" s="1" t="s">
        <v>590</v>
      </c>
      <c r="P1734" s="1" t="s">
        <v>2105</v>
      </c>
      <c r="Q1734" s="3">
        <v>0</v>
      </c>
      <c r="S1734" s="23" t="s">
        <v>5949</v>
      </c>
      <c r="T1734" s="23" t="s">
        <v>4931</v>
      </c>
      <c r="U1734" s="3">
        <v>34</v>
      </c>
      <c r="W1734" s="45" t="str">
        <f>HYPERLINK("http://ictvonline.org/taxonomy/p/taxonomy-history?taxnode_id=201854612","ICTVonline=201854612")</f>
        <v>ICTVonline=201854612</v>
      </c>
      <c r="AA1734" s="1">
        <v>201850000</v>
      </c>
      <c r="AB1734" s="1">
        <v>34</v>
      </c>
    </row>
    <row r="1735" spans="1:28" x14ac:dyDescent="0.15">
      <c r="A1735" s="1">
        <v>4493</v>
      </c>
      <c r="B1735" s="1" t="s">
        <v>7159</v>
      </c>
      <c r="L1735" s="1" t="s">
        <v>482</v>
      </c>
      <c r="N1735" s="1" t="s">
        <v>590</v>
      </c>
      <c r="P1735" s="1" t="s">
        <v>2106</v>
      </c>
      <c r="Q1735" s="3">
        <v>0</v>
      </c>
      <c r="S1735" s="23" t="s">
        <v>5949</v>
      </c>
      <c r="T1735" s="23" t="s">
        <v>4931</v>
      </c>
      <c r="U1735" s="3">
        <v>34</v>
      </c>
      <c r="W1735" s="45" t="str">
        <f>HYPERLINK("http://ictvonline.org/taxonomy/p/taxonomy-history?taxnode_id=201854613","ICTVonline=201854613")</f>
        <v>ICTVonline=201854613</v>
      </c>
      <c r="AA1735" s="1">
        <v>201850000</v>
      </c>
      <c r="AB1735" s="1">
        <v>34</v>
      </c>
    </row>
    <row r="1736" spans="1:28" x14ac:dyDescent="0.15">
      <c r="A1736" s="1">
        <v>4495</v>
      </c>
      <c r="B1736" s="1" t="s">
        <v>7159</v>
      </c>
      <c r="L1736" s="1" t="s">
        <v>482</v>
      </c>
      <c r="N1736" s="1" t="s">
        <v>590</v>
      </c>
      <c r="P1736" s="1" t="s">
        <v>2107</v>
      </c>
      <c r="Q1736" s="3">
        <v>0</v>
      </c>
      <c r="S1736" s="23" t="s">
        <v>5949</v>
      </c>
      <c r="T1736" s="23" t="s">
        <v>4931</v>
      </c>
      <c r="U1736" s="3">
        <v>34</v>
      </c>
      <c r="W1736" s="45" t="str">
        <f>HYPERLINK("http://ictvonline.org/taxonomy/p/taxonomy-history?taxnode_id=201854614","ICTVonline=201854614")</f>
        <v>ICTVonline=201854614</v>
      </c>
      <c r="AA1736" s="1">
        <v>201850000</v>
      </c>
      <c r="AB1736" s="1">
        <v>34</v>
      </c>
    </row>
    <row r="1737" spans="1:28" x14ac:dyDescent="0.15">
      <c r="A1737" s="1">
        <v>4497</v>
      </c>
      <c r="B1737" s="1" t="s">
        <v>7159</v>
      </c>
      <c r="L1737" s="1" t="s">
        <v>482</v>
      </c>
      <c r="N1737" s="1" t="s">
        <v>590</v>
      </c>
      <c r="P1737" s="1" t="s">
        <v>2108</v>
      </c>
      <c r="Q1737" s="3">
        <v>0</v>
      </c>
      <c r="S1737" s="23" t="s">
        <v>5949</v>
      </c>
      <c r="T1737" s="23" t="s">
        <v>4931</v>
      </c>
      <c r="U1737" s="3">
        <v>34</v>
      </c>
      <c r="W1737" s="45" t="str">
        <f>HYPERLINK("http://ictvonline.org/taxonomy/p/taxonomy-history?taxnode_id=201854615","ICTVonline=201854615")</f>
        <v>ICTVonline=201854615</v>
      </c>
      <c r="AA1737" s="1">
        <v>201850000</v>
      </c>
      <c r="AB1737" s="1">
        <v>34</v>
      </c>
    </row>
    <row r="1738" spans="1:28" x14ac:dyDescent="0.15">
      <c r="A1738" s="1">
        <v>4499</v>
      </c>
      <c r="B1738" s="1" t="s">
        <v>7159</v>
      </c>
      <c r="L1738" s="1" t="s">
        <v>482</v>
      </c>
      <c r="N1738" s="1" t="s">
        <v>590</v>
      </c>
      <c r="P1738" s="1" t="s">
        <v>2701</v>
      </c>
      <c r="Q1738" s="3">
        <v>0</v>
      </c>
      <c r="S1738" s="23" t="s">
        <v>5949</v>
      </c>
      <c r="T1738" s="23" t="s">
        <v>4931</v>
      </c>
      <c r="U1738" s="3">
        <v>34</v>
      </c>
      <c r="W1738" s="45" t="str">
        <f>HYPERLINK("http://ictvonline.org/taxonomy/p/taxonomy-history?taxnode_id=201854616","ICTVonline=201854616")</f>
        <v>ICTVonline=201854616</v>
      </c>
      <c r="AA1738" s="1">
        <v>201850000</v>
      </c>
      <c r="AB1738" s="1">
        <v>34</v>
      </c>
    </row>
    <row r="1739" spans="1:28" x14ac:dyDescent="0.15">
      <c r="A1739" s="1">
        <v>4501</v>
      </c>
      <c r="B1739" s="1" t="s">
        <v>7159</v>
      </c>
      <c r="L1739" s="1" t="s">
        <v>482</v>
      </c>
      <c r="N1739" s="1" t="s">
        <v>590</v>
      </c>
      <c r="P1739" s="1" t="s">
        <v>2114</v>
      </c>
      <c r="Q1739" s="3">
        <v>0</v>
      </c>
      <c r="S1739" s="23" t="s">
        <v>5949</v>
      </c>
      <c r="T1739" s="23" t="s">
        <v>4931</v>
      </c>
      <c r="U1739" s="3">
        <v>34</v>
      </c>
      <c r="W1739" s="45" t="str">
        <f>HYPERLINK("http://ictvonline.org/taxonomy/p/taxonomy-history?taxnode_id=201854617","ICTVonline=201854617")</f>
        <v>ICTVonline=201854617</v>
      </c>
      <c r="AA1739" s="1">
        <v>201850000</v>
      </c>
      <c r="AB1739" s="1">
        <v>34</v>
      </c>
    </row>
    <row r="1740" spans="1:28" x14ac:dyDescent="0.15">
      <c r="A1740" s="1">
        <v>4503</v>
      </c>
      <c r="B1740" s="1" t="s">
        <v>7159</v>
      </c>
      <c r="L1740" s="1" t="s">
        <v>482</v>
      </c>
      <c r="N1740" s="1" t="s">
        <v>590</v>
      </c>
      <c r="P1740" s="1" t="s">
        <v>531</v>
      </c>
      <c r="Q1740" s="3">
        <v>0</v>
      </c>
      <c r="S1740" s="23" t="s">
        <v>5949</v>
      </c>
      <c r="T1740" s="23" t="s">
        <v>4931</v>
      </c>
      <c r="U1740" s="3">
        <v>34</v>
      </c>
      <c r="W1740" s="45" t="str">
        <f>HYPERLINK("http://ictvonline.org/taxonomy/p/taxonomy-history?taxnode_id=201854618","ICTVonline=201854618")</f>
        <v>ICTVonline=201854618</v>
      </c>
      <c r="AA1740" s="1">
        <v>201850000</v>
      </c>
      <c r="AB1740" s="1">
        <v>34</v>
      </c>
    </row>
    <row r="1741" spans="1:28" x14ac:dyDescent="0.15">
      <c r="A1741" s="1">
        <v>4505</v>
      </c>
      <c r="B1741" s="1" t="s">
        <v>7159</v>
      </c>
      <c r="L1741" s="1" t="s">
        <v>482</v>
      </c>
      <c r="N1741" s="1" t="s">
        <v>590</v>
      </c>
      <c r="P1741" s="1" t="s">
        <v>532</v>
      </c>
      <c r="Q1741" s="3">
        <v>0</v>
      </c>
      <c r="S1741" s="23" t="s">
        <v>5949</v>
      </c>
      <c r="T1741" s="23" t="s">
        <v>4931</v>
      </c>
      <c r="U1741" s="3">
        <v>34</v>
      </c>
      <c r="W1741" s="45" t="str">
        <f>HYPERLINK("http://ictvonline.org/taxonomy/p/taxonomy-history?taxnode_id=201854619","ICTVonline=201854619")</f>
        <v>ICTVonline=201854619</v>
      </c>
      <c r="AA1741" s="1">
        <v>201850000</v>
      </c>
      <c r="AB1741" s="1">
        <v>34</v>
      </c>
    </row>
    <row r="1742" spans="1:28" x14ac:dyDescent="0.15">
      <c r="A1742" s="1">
        <v>4507</v>
      </c>
      <c r="B1742" s="1" t="s">
        <v>7159</v>
      </c>
      <c r="L1742" s="1" t="s">
        <v>482</v>
      </c>
      <c r="N1742" s="1" t="s">
        <v>590</v>
      </c>
      <c r="P1742" s="1" t="s">
        <v>533</v>
      </c>
      <c r="Q1742" s="3">
        <v>0</v>
      </c>
      <c r="S1742" s="23" t="s">
        <v>5949</v>
      </c>
      <c r="T1742" s="23" t="s">
        <v>4931</v>
      </c>
      <c r="U1742" s="3">
        <v>34</v>
      </c>
      <c r="W1742" s="45" t="str">
        <f>HYPERLINK("http://ictvonline.org/taxonomy/p/taxonomy-history?taxnode_id=201854620","ICTVonline=201854620")</f>
        <v>ICTVonline=201854620</v>
      </c>
      <c r="AA1742" s="1">
        <v>201850000</v>
      </c>
      <c r="AB1742" s="1">
        <v>34</v>
      </c>
    </row>
    <row r="1743" spans="1:28" x14ac:dyDescent="0.15">
      <c r="A1743" s="1">
        <v>4509</v>
      </c>
      <c r="B1743" s="1" t="s">
        <v>7159</v>
      </c>
      <c r="L1743" s="1" t="s">
        <v>482</v>
      </c>
      <c r="N1743" s="1" t="s">
        <v>590</v>
      </c>
      <c r="P1743" s="1" t="s">
        <v>534</v>
      </c>
      <c r="Q1743" s="3">
        <v>0</v>
      </c>
      <c r="S1743" s="23" t="s">
        <v>5949</v>
      </c>
      <c r="T1743" s="23" t="s">
        <v>4931</v>
      </c>
      <c r="U1743" s="3">
        <v>34</v>
      </c>
      <c r="W1743" s="45" t="str">
        <f>HYPERLINK("http://ictvonline.org/taxonomy/p/taxonomy-history?taxnode_id=201854621","ICTVonline=201854621")</f>
        <v>ICTVonline=201854621</v>
      </c>
      <c r="AA1743" s="1">
        <v>201850000</v>
      </c>
      <c r="AB1743" s="1">
        <v>34</v>
      </c>
    </row>
    <row r="1744" spans="1:28" x14ac:dyDescent="0.15">
      <c r="A1744" s="1">
        <v>4511</v>
      </c>
      <c r="B1744" s="1" t="s">
        <v>7159</v>
      </c>
      <c r="L1744" s="1" t="s">
        <v>482</v>
      </c>
      <c r="N1744" s="1" t="s">
        <v>590</v>
      </c>
      <c r="P1744" s="1" t="s">
        <v>5531</v>
      </c>
      <c r="Q1744" s="3">
        <v>0</v>
      </c>
      <c r="S1744" s="23" t="s">
        <v>5949</v>
      </c>
      <c r="T1744" s="23" t="s">
        <v>4931</v>
      </c>
      <c r="U1744" s="3">
        <v>34</v>
      </c>
      <c r="W1744" s="45" t="str">
        <f>HYPERLINK("http://ictvonline.org/taxonomy/p/taxonomy-history?taxnode_id=201855921","ICTVonline=201855921")</f>
        <v>ICTVonline=201855921</v>
      </c>
      <c r="AA1744" s="1">
        <v>201850000</v>
      </c>
      <c r="AB1744" s="1">
        <v>34</v>
      </c>
    </row>
    <row r="1745" spans="1:28" x14ac:dyDescent="0.15">
      <c r="A1745" s="1">
        <v>4513</v>
      </c>
      <c r="B1745" s="1" t="s">
        <v>7159</v>
      </c>
      <c r="L1745" s="1" t="s">
        <v>482</v>
      </c>
      <c r="N1745" s="1" t="s">
        <v>590</v>
      </c>
      <c r="P1745" s="1" t="s">
        <v>535</v>
      </c>
      <c r="Q1745" s="3">
        <v>0</v>
      </c>
      <c r="S1745" s="23" t="s">
        <v>5949</v>
      </c>
      <c r="T1745" s="23" t="s">
        <v>4931</v>
      </c>
      <c r="U1745" s="3">
        <v>34</v>
      </c>
      <c r="W1745" s="45" t="str">
        <f>HYPERLINK("http://ictvonline.org/taxonomy/p/taxonomy-history?taxnode_id=201854622","ICTVonline=201854622")</f>
        <v>ICTVonline=201854622</v>
      </c>
      <c r="AA1745" s="1">
        <v>201850000</v>
      </c>
      <c r="AB1745" s="1">
        <v>34</v>
      </c>
    </row>
    <row r="1746" spans="1:28" x14ac:dyDescent="0.15">
      <c r="A1746" s="1">
        <v>4515</v>
      </c>
      <c r="B1746" s="1" t="s">
        <v>7159</v>
      </c>
      <c r="L1746" s="1" t="s">
        <v>482</v>
      </c>
      <c r="N1746" s="1" t="s">
        <v>590</v>
      </c>
      <c r="P1746" s="1" t="s">
        <v>536</v>
      </c>
      <c r="Q1746" s="3">
        <v>0</v>
      </c>
      <c r="S1746" s="23" t="s">
        <v>5949</v>
      </c>
      <c r="T1746" s="23" t="s">
        <v>4931</v>
      </c>
      <c r="U1746" s="3">
        <v>34</v>
      </c>
      <c r="W1746" s="45" t="str">
        <f>HYPERLINK("http://ictvonline.org/taxonomy/p/taxonomy-history?taxnode_id=201854623","ICTVonline=201854623")</f>
        <v>ICTVonline=201854623</v>
      </c>
      <c r="AA1746" s="1">
        <v>201850000</v>
      </c>
      <c r="AB1746" s="1">
        <v>34</v>
      </c>
    </row>
    <row r="1747" spans="1:28" x14ac:dyDescent="0.15">
      <c r="A1747" s="1">
        <v>4517</v>
      </c>
      <c r="B1747" s="1" t="s">
        <v>7159</v>
      </c>
      <c r="L1747" s="1" t="s">
        <v>482</v>
      </c>
      <c r="N1747" s="1" t="s">
        <v>590</v>
      </c>
      <c r="P1747" s="1" t="s">
        <v>537</v>
      </c>
      <c r="Q1747" s="3">
        <v>0</v>
      </c>
      <c r="S1747" s="23" t="s">
        <v>5949</v>
      </c>
      <c r="T1747" s="23" t="s">
        <v>4931</v>
      </c>
      <c r="U1747" s="3">
        <v>34</v>
      </c>
      <c r="W1747" s="45" t="str">
        <f>HYPERLINK("http://ictvonline.org/taxonomy/p/taxonomy-history?taxnode_id=201854624","ICTVonline=201854624")</f>
        <v>ICTVonline=201854624</v>
      </c>
      <c r="AA1747" s="1">
        <v>201850000</v>
      </c>
      <c r="AB1747" s="1">
        <v>34</v>
      </c>
    </row>
    <row r="1748" spans="1:28" x14ac:dyDescent="0.15">
      <c r="A1748" s="1">
        <v>4519</v>
      </c>
      <c r="B1748" s="1" t="s">
        <v>7159</v>
      </c>
      <c r="L1748" s="1" t="s">
        <v>482</v>
      </c>
      <c r="N1748" s="1" t="s">
        <v>590</v>
      </c>
      <c r="P1748" s="1" t="s">
        <v>538</v>
      </c>
      <c r="Q1748" s="3">
        <v>0</v>
      </c>
      <c r="S1748" s="23" t="s">
        <v>5949</v>
      </c>
      <c r="T1748" s="23" t="s">
        <v>4931</v>
      </c>
      <c r="U1748" s="3">
        <v>34</v>
      </c>
      <c r="W1748" s="45" t="str">
        <f>HYPERLINK("http://ictvonline.org/taxonomy/p/taxonomy-history?taxnode_id=201854625","ICTVonline=201854625")</f>
        <v>ICTVonline=201854625</v>
      </c>
      <c r="AA1748" s="1">
        <v>201850000</v>
      </c>
      <c r="AB1748" s="1">
        <v>34</v>
      </c>
    </row>
    <row r="1749" spans="1:28" x14ac:dyDescent="0.15">
      <c r="A1749" s="1">
        <v>4521</v>
      </c>
      <c r="B1749" s="1" t="s">
        <v>7159</v>
      </c>
      <c r="L1749" s="1" t="s">
        <v>482</v>
      </c>
      <c r="N1749" s="1" t="s">
        <v>590</v>
      </c>
      <c r="P1749" s="1" t="s">
        <v>4828</v>
      </c>
      <c r="Q1749" s="3">
        <v>0</v>
      </c>
      <c r="S1749" s="23" t="s">
        <v>5949</v>
      </c>
      <c r="T1749" s="23" t="s">
        <v>4931</v>
      </c>
      <c r="U1749" s="3">
        <v>34</v>
      </c>
      <c r="W1749" s="45" t="str">
        <f>HYPERLINK("http://ictvonline.org/taxonomy/p/taxonomy-history?taxnode_id=201854626","ICTVonline=201854626")</f>
        <v>ICTVonline=201854626</v>
      </c>
      <c r="AA1749" s="1">
        <v>201850000</v>
      </c>
      <c r="AB1749" s="1">
        <v>34</v>
      </c>
    </row>
    <row r="1750" spans="1:28" x14ac:dyDescent="0.15">
      <c r="A1750" s="1">
        <v>4523</v>
      </c>
      <c r="B1750" s="1" t="s">
        <v>7159</v>
      </c>
      <c r="L1750" s="1" t="s">
        <v>482</v>
      </c>
      <c r="N1750" s="1" t="s">
        <v>590</v>
      </c>
      <c r="P1750" s="1" t="s">
        <v>539</v>
      </c>
      <c r="Q1750" s="3">
        <v>0</v>
      </c>
      <c r="S1750" s="23" t="s">
        <v>5949</v>
      </c>
      <c r="T1750" s="23" t="s">
        <v>4931</v>
      </c>
      <c r="U1750" s="3">
        <v>34</v>
      </c>
      <c r="W1750" s="45" t="str">
        <f>HYPERLINK("http://ictvonline.org/taxonomy/p/taxonomy-history?taxnode_id=201854627","ICTVonline=201854627")</f>
        <v>ICTVonline=201854627</v>
      </c>
      <c r="AA1750" s="1">
        <v>201850000</v>
      </c>
      <c r="AB1750" s="1">
        <v>34</v>
      </c>
    </row>
    <row r="1751" spans="1:28" x14ac:dyDescent="0.15">
      <c r="A1751" s="1">
        <v>4525</v>
      </c>
      <c r="B1751" s="1" t="s">
        <v>7159</v>
      </c>
      <c r="L1751" s="1" t="s">
        <v>482</v>
      </c>
      <c r="N1751" s="1" t="s">
        <v>590</v>
      </c>
      <c r="P1751" s="1" t="s">
        <v>5532</v>
      </c>
      <c r="Q1751" s="3">
        <v>0</v>
      </c>
      <c r="S1751" s="23" t="s">
        <v>5949</v>
      </c>
      <c r="T1751" s="23" t="s">
        <v>4931</v>
      </c>
      <c r="U1751" s="3">
        <v>34</v>
      </c>
      <c r="W1751" s="45" t="str">
        <f>HYPERLINK("http://ictvonline.org/taxonomy/p/taxonomy-history?taxnode_id=201854628","ICTVonline=201854628")</f>
        <v>ICTVonline=201854628</v>
      </c>
      <c r="AA1751" s="1">
        <v>201850000</v>
      </c>
      <c r="AB1751" s="1">
        <v>34</v>
      </c>
    </row>
    <row r="1752" spans="1:28" x14ac:dyDescent="0.15">
      <c r="A1752" s="1">
        <v>4527</v>
      </c>
      <c r="B1752" s="1" t="s">
        <v>7159</v>
      </c>
      <c r="L1752" s="1" t="s">
        <v>482</v>
      </c>
      <c r="N1752" s="1" t="s">
        <v>590</v>
      </c>
      <c r="P1752" s="1" t="s">
        <v>2702</v>
      </c>
      <c r="Q1752" s="3">
        <v>0</v>
      </c>
      <c r="S1752" s="23" t="s">
        <v>5949</v>
      </c>
      <c r="T1752" s="23" t="s">
        <v>4931</v>
      </c>
      <c r="U1752" s="3">
        <v>34</v>
      </c>
      <c r="W1752" s="45" t="str">
        <f>HYPERLINK("http://ictvonline.org/taxonomy/p/taxonomy-history?taxnode_id=201854629","ICTVonline=201854629")</f>
        <v>ICTVonline=201854629</v>
      </c>
      <c r="AA1752" s="1">
        <v>201850000</v>
      </c>
      <c r="AB1752" s="1">
        <v>34</v>
      </c>
    </row>
    <row r="1753" spans="1:28" x14ac:dyDescent="0.15">
      <c r="A1753" s="1">
        <v>4529</v>
      </c>
      <c r="B1753" s="1" t="s">
        <v>7159</v>
      </c>
      <c r="L1753" s="1" t="s">
        <v>482</v>
      </c>
      <c r="N1753" s="1" t="s">
        <v>590</v>
      </c>
      <c r="P1753" s="1" t="s">
        <v>540</v>
      </c>
      <c r="Q1753" s="3">
        <v>0</v>
      </c>
      <c r="S1753" s="23" t="s">
        <v>5949</v>
      </c>
      <c r="T1753" s="23" t="s">
        <v>4931</v>
      </c>
      <c r="U1753" s="3">
        <v>34</v>
      </c>
      <c r="W1753" s="45" t="str">
        <f>HYPERLINK("http://ictvonline.org/taxonomy/p/taxonomy-history?taxnode_id=201854630","ICTVonline=201854630")</f>
        <v>ICTVonline=201854630</v>
      </c>
      <c r="AA1753" s="1">
        <v>201850000</v>
      </c>
      <c r="AB1753" s="1">
        <v>34</v>
      </c>
    </row>
    <row r="1754" spans="1:28" x14ac:dyDescent="0.15">
      <c r="A1754" s="1">
        <v>4531</v>
      </c>
      <c r="B1754" s="1" t="s">
        <v>7159</v>
      </c>
      <c r="L1754" s="1" t="s">
        <v>482</v>
      </c>
      <c r="N1754" s="1" t="s">
        <v>590</v>
      </c>
      <c r="P1754" s="1" t="s">
        <v>541</v>
      </c>
      <c r="Q1754" s="3">
        <v>0</v>
      </c>
      <c r="S1754" s="23" t="s">
        <v>5949</v>
      </c>
      <c r="T1754" s="23" t="s">
        <v>4931</v>
      </c>
      <c r="U1754" s="3">
        <v>34</v>
      </c>
      <c r="W1754" s="45" t="str">
        <f>HYPERLINK("http://ictvonline.org/taxonomy/p/taxonomy-history?taxnode_id=201854631","ICTVonline=201854631")</f>
        <v>ICTVonline=201854631</v>
      </c>
      <c r="AA1754" s="1">
        <v>201850000</v>
      </c>
      <c r="AB1754" s="1">
        <v>34</v>
      </c>
    </row>
    <row r="1755" spans="1:28" x14ac:dyDescent="0.15">
      <c r="A1755" s="1">
        <v>4533</v>
      </c>
      <c r="B1755" s="1" t="s">
        <v>7159</v>
      </c>
      <c r="L1755" s="1" t="s">
        <v>482</v>
      </c>
      <c r="N1755" s="1" t="s">
        <v>590</v>
      </c>
      <c r="P1755" s="1" t="s">
        <v>4829</v>
      </c>
      <c r="Q1755" s="3">
        <v>0</v>
      </c>
      <c r="S1755" s="23" t="s">
        <v>5949</v>
      </c>
      <c r="T1755" s="23" t="s">
        <v>4931</v>
      </c>
      <c r="U1755" s="3">
        <v>34</v>
      </c>
      <c r="W1755" s="45" t="str">
        <f>HYPERLINK("http://ictvonline.org/taxonomy/p/taxonomy-history?taxnode_id=201854632","ICTVonline=201854632")</f>
        <v>ICTVonline=201854632</v>
      </c>
      <c r="AA1755" s="1">
        <v>201850000</v>
      </c>
      <c r="AB1755" s="1">
        <v>34</v>
      </c>
    </row>
    <row r="1756" spans="1:28" x14ac:dyDescent="0.15">
      <c r="A1756" s="1">
        <v>4535</v>
      </c>
      <c r="B1756" s="1" t="s">
        <v>7159</v>
      </c>
      <c r="L1756" s="1" t="s">
        <v>482</v>
      </c>
      <c r="N1756" s="1" t="s">
        <v>590</v>
      </c>
      <c r="P1756" s="1" t="s">
        <v>542</v>
      </c>
      <c r="Q1756" s="3">
        <v>0</v>
      </c>
      <c r="S1756" s="23" t="s">
        <v>5949</v>
      </c>
      <c r="T1756" s="23" t="s">
        <v>4931</v>
      </c>
      <c r="U1756" s="3">
        <v>34</v>
      </c>
      <c r="W1756" s="45" t="str">
        <f>HYPERLINK("http://ictvonline.org/taxonomy/p/taxonomy-history?taxnode_id=201854633","ICTVonline=201854633")</f>
        <v>ICTVonline=201854633</v>
      </c>
      <c r="AA1756" s="1">
        <v>201850000</v>
      </c>
      <c r="AB1756" s="1">
        <v>34</v>
      </c>
    </row>
    <row r="1757" spans="1:28" x14ac:dyDescent="0.15">
      <c r="A1757" s="1">
        <v>4537</v>
      </c>
      <c r="B1757" s="1" t="s">
        <v>7159</v>
      </c>
      <c r="L1757" s="1" t="s">
        <v>482</v>
      </c>
      <c r="N1757" s="1" t="s">
        <v>590</v>
      </c>
      <c r="P1757" s="1" t="s">
        <v>543</v>
      </c>
      <c r="Q1757" s="3">
        <v>0</v>
      </c>
      <c r="S1757" s="23" t="s">
        <v>5949</v>
      </c>
      <c r="T1757" s="23" t="s">
        <v>4931</v>
      </c>
      <c r="U1757" s="3">
        <v>34</v>
      </c>
      <c r="W1757" s="45" t="str">
        <f>HYPERLINK("http://ictvonline.org/taxonomy/p/taxonomy-history?taxnode_id=201854634","ICTVonline=201854634")</f>
        <v>ICTVonline=201854634</v>
      </c>
      <c r="AA1757" s="1">
        <v>201850000</v>
      </c>
      <c r="AB1757" s="1">
        <v>34</v>
      </c>
    </row>
    <row r="1758" spans="1:28" x14ac:dyDescent="0.15">
      <c r="A1758" s="1">
        <v>4539</v>
      </c>
      <c r="B1758" s="1" t="s">
        <v>7159</v>
      </c>
      <c r="L1758" s="1" t="s">
        <v>482</v>
      </c>
      <c r="N1758" s="1" t="s">
        <v>590</v>
      </c>
      <c r="P1758" s="1" t="s">
        <v>2703</v>
      </c>
      <c r="Q1758" s="3">
        <v>0</v>
      </c>
      <c r="S1758" s="23" t="s">
        <v>5949</v>
      </c>
      <c r="T1758" s="23" t="s">
        <v>4931</v>
      </c>
      <c r="U1758" s="3">
        <v>34</v>
      </c>
      <c r="W1758" s="45" t="str">
        <f>HYPERLINK("http://ictvonline.org/taxonomy/p/taxonomy-history?taxnode_id=201854635","ICTVonline=201854635")</f>
        <v>ICTVonline=201854635</v>
      </c>
      <c r="AA1758" s="1">
        <v>201850000</v>
      </c>
      <c r="AB1758" s="1">
        <v>34</v>
      </c>
    </row>
    <row r="1759" spans="1:28" x14ac:dyDescent="0.15">
      <c r="A1759" s="1">
        <v>4541</v>
      </c>
      <c r="B1759" s="1" t="s">
        <v>7159</v>
      </c>
      <c r="L1759" s="1" t="s">
        <v>482</v>
      </c>
      <c r="N1759" s="1" t="s">
        <v>590</v>
      </c>
      <c r="P1759" s="1" t="s">
        <v>544</v>
      </c>
      <c r="Q1759" s="3">
        <v>0</v>
      </c>
      <c r="S1759" s="23" t="s">
        <v>5949</v>
      </c>
      <c r="T1759" s="23" t="s">
        <v>4931</v>
      </c>
      <c r="U1759" s="3">
        <v>34</v>
      </c>
      <c r="W1759" s="45" t="str">
        <f>HYPERLINK("http://ictvonline.org/taxonomy/p/taxonomy-history?taxnode_id=201854636","ICTVonline=201854636")</f>
        <v>ICTVonline=201854636</v>
      </c>
      <c r="AA1759" s="1">
        <v>201850000</v>
      </c>
      <c r="AB1759" s="1">
        <v>34</v>
      </c>
    </row>
    <row r="1760" spans="1:28" x14ac:dyDescent="0.15">
      <c r="A1760" s="1">
        <v>4543</v>
      </c>
      <c r="B1760" s="1" t="s">
        <v>7159</v>
      </c>
      <c r="L1760" s="1" t="s">
        <v>482</v>
      </c>
      <c r="N1760" s="1" t="s">
        <v>590</v>
      </c>
      <c r="P1760" s="1" t="s">
        <v>887</v>
      </c>
      <c r="Q1760" s="3">
        <v>0</v>
      </c>
      <c r="S1760" s="23" t="s">
        <v>5949</v>
      </c>
      <c r="T1760" s="23" t="s">
        <v>4931</v>
      </c>
      <c r="U1760" s="3">
        <v>34</v>
      </c>
      <c r="W1760" s="45" t="str">
        <f>HYPERLINK("http://ictvonline.org/taxonomy/p/taxonomy-history?taxnode_id=201854637","ICTVonline=201854637")</f>
        <v>ICTVonline=201854637</v>
      </c>
      <c r="AA1760" s="1">
        <v>201850000</v>
      </c>
      <c r="AB1760" s="1">
        <v>34</v>
      </c>
    </row>
    <row r="1761" spans="1:28" x14ac:dyDescent="0.15">
      <c r="A1761" s="1">
        <v>4545</v>
      </c>
      <c r="B1761" s="1" t="s">
        <v>7159</v>
      </c>
      <c r="L1761" s="1" t="s">
        <v>482</v>
      </c>
      <c r="N1761" s="1" t="s">
        <v>590</v>
      </c>
      <c r="P1761" s="1" t="s">
        <v>2138</v>
      </c>
      <c r="Q1761" s="3">
        <v>0</v>
      </c>
      <c r="S1761" s="23" t="s">
        <v>5949</v>
      </c>
      <c r="T1761" s="23" t="s">
        <v>4931</v>
      </c>
      <c r="U1761" s="3">
        <v>34</v>
      </c>
      <c r="W1761" s="45" t="str">
        <f>HYPERLINK("http://ictvonline.org/taxonomy/p/taxonomy-history?taxnode_id=201854638","ICTVonline=201854638")</f>
        <v>ICTVonline=201854638</v>
      </c>
      <c r="AA1761" s="1">
        <v>201850000</v>
      </c>
      <c r="AB1761" s="1">
        <v>34</v>
      </c>
    </row>
    <row r="1762" spans="1:28" x14ac:dyDescent="0.15">
      <c r="A1762" s="1">
        <v>4547</v>
      </c>
      <c r="B1762" s="1" t="s">
        <v>7159</v>
      </c>
      <c r="L1762" s="1" t="s">
        <v>482</v>
      </c>
      <c r="N1762" s="1" t="s">
        <v>590</v>
      </c>
      <c r="P1762" s="1" t="s">
        <v>888</v>
      </c>
      <c r="Q1762" s="3">
        <v>0</v>
      </c>
      <c r="S1762" s="23" t="s">
        <v>5949</v>
      </c>
      <c r="T1762" s="23" t="s">
        <v>4931</v>
      </c>
      <c r="U1762" s="3">
        <v>34</v>
      </c>
      <c r="W1762" s="45" t="str">
        <f>HYPERLINK("http://ictvonline.org/taxonomy/p/taxonomy-history?taxnode_id=201854639","ICTVonline=201854639")</f>
        <v>ICTVonline=201854639</v>
      </c>
      <c r="AA1762" s="1">
        <v>201850000</v>
      </c>
      <c r="AB1762" s="1">
        <v>34</v>
      </c>
    </row>
    <row r="1763" spans="1:28" x14ac:dyDescent="0.15">
      <c r="A1763" s="1">
        <v>4549</v>
      </c>
      <c r="B1763" s="1" t="s">
        <v>7159</v>
      </c>
      <c r="L1763" s="1" t="s">
        <v>482</v>
      </c>
      <c r="N1763" s="1" t="s">
        <v>590</v>
      </c>
      <c r="P1763" s="1" t="s">
        <v>7138</v>
      </c>
      <c r="Q1763" s="3">
        <v>0</v>
      </c>
      <c r="S1763" s="23" t="s">
        <v>5949</v>
      </c>
      <c r="T1763" s="23" t="s">
        <v>4929</v>
      </c>
      <c r="U1763" s="3">
        <v>34</v>
      </c>
      <c r="V1763" s="3" t="s">
        <v>7136</v>
      </c>
      <c r="W1763" s="45" t="str">
        <f>HYPERLINK("http://ictvonline.org/taxonomy/p/taxonomy-history?taxnode_id=201856673","ICTVonline=201856673")</f>
        <v>ICTVonline=201856673</v>
      </c>
      <c r="AA1763" s="1">
        <v>201850000</v>
      </c>
      <c r="AB1763" s="1">
        <v>34</v>
      </c>
    </row>
    <row r="1764" spans="1:28" x14ac:dyDescent="0.15">
      <c r="A1764" s="1">
        <v>4551</v>
      </c>
      <c r="B1764" s="1" t="s">
        <v>7159</v>
      </c>
      <c r="L1764" s="1" t="s">
        <v>482</v>
      </c>
      <c r="N1764" s="1" t="s">
        <v>590</v>
      </c>
      <c r="P1764" s="1" t="s">
        <v>889</v>
      </c>
      <c r="Q1764" s="3">
        <v>0</v>
      </c>
      <c r="S1764" s="23" t="s">
        <v>5949</v>
      </c>
      <c r="T1764" s="23" t="s">
        <v>4931</v>
      </c>
      <c r="U1764" s="3">
        <v>34</v>
      </c>
      <c r="W1764" s="45" t="str">
        <f>HYPERLINK("http://ictvonline.org/taxonomy/p/taxonomy-history?taxnode_id=201854640","ICTVonline=201854640")</f>
        <v>ICTVonline=201854640</v>
      </c>
      <c r="AA1764" s="1">
        <v>201850000</v>
      </c>
      <c r="AB1764" s="1">
        <v>34</v>
      </c>
    </row>
    <row r="1765" spans="1:28" x14ac:dyDescent="0.15">
      <c r="A1765" s="1">
        <v>4553</v>
      </c>
      <c r="B1765" s="1" t="s">
        <v>7159</v>
      </c>
      <c r="L1765" s="1" t="s">
        <v>482</v>
      </c>
      <c r="N1765" s="1" t="s">
        <v>590</v>
      </c>
      <c r="P1765" s="1" t="s">
        <v>965</v>
      </c>
      <c r="Q1765" s="3">
        <v>0</v>
      </c>
      <c r="S1765" s="23" t="s">
        <v>5949</v>
      </c>
      <c r="T1765" s="23" t="s">
        <v>4931</v>
      </c>
      <c r="U1765" s="3">
        <v>34</v>
      </c>
      <c r="W1765" s="45" t="str">
        <f>HYPERLINK("http://ictvonline.org/taxonomy/p/taxonomy-history?taxnode_id=201854641","ICTVonline=201854641")</f>
        <v>ICTVonline=201854641</v>
      </c>
      <c r="AA1765" s="1">
        <v>201850000</v>
      </c>
      <c r="AB1765" s="1">
        <v>34</v>
      </c>
    </row>
    <row r="1766" spans="1:28" x14ac:dyDescent="0.15">
      <c r="A1766" s="1">
        <v>4555</v>
      </c>
      <c r="B1766" s="1" t="s">
        <v>7159</v>
      </c>
      <c r="L1766" s="1" t="s">
        <v>482</v>
      </c>
      <c r="N1766" s="1" t="s">
        <v>590</v>
      </c>
      <c r="P1766" s="1" t="s">
        <v>966</v>
      </c>
      <c r="Q1766" s="3">
        <v>0</v>
      </c>
      <c r="S1766" s="23" t="s">
        <v>5949</v>
      </c>
      <c r="T1766" s="23" t="s">
        <v>4931</v>
      </c>
      <c r="U1766" s="3">
        <v>34</v>
      </c>
      <c r="W1766" s="45" t="str">
        <f>HYPERLINK("http://ictvonline.org/taxonomy/p/taxonomy-history?taxnode_id=201854642","ICTVonline=201854642")</f>
        <v>ICTVonline=201854642</v>
      </c>
      <c r="AA1766" s="1">
        <v>201850000</v>
      </c>
      <c r="AB1766" s="1">
        <v>34</v>
      </c>
    </row>
    <row r="1767" spans="1:28" x14ac:dyDescent="0.15">
      <c r="A1767" s="1">
        <v>4557</v>
      </c>
      <c r="B1767" s="1" t="s">
        <v>7159</v>
      </c>
      <c r="L1767" s="1" t="s">
        <v>482</v>
      </c>
      <c r="N1767" s="1" t="s">
        <v>590</v>
      </c>
      <c r="P1767" s="1" t="s">
        <v>967</v>
      </c>
      <c r="Q1767" s="3">
        <v>0</v>
      </c>
      <c r="S1767" s="23" t="s">
        <v>5949</v>
      </c>
      <c r="T1767" s="23" t="s">
        <v>4931</v>
      </c>
      <c r="U1767" s="3">
        <v>34</v>
      </c>
      <c r="W1767" s="45" t="str">
        <f>HYPERLINK("http://ictvonline.org/taxonomy/p/taxonomy-history?taxnode_id=201854643","ICTVonline=201854643")</f>
        <v>ICTVonline=201854643</v>
      </c>
      <c r="AA1767" s="1">
        <v>201850000</v>
      </c>
      <c r="AB1767" s="1">
        <v>34</v>
      </c>
    </row>
    <row r="1768" spans="1:28" x14ac:dyDescent="0.15">
      <c r="A1768" s="1">
        <v>4559</v>
      </c>
      <c r="B1768" s="1" t="s">
        <v>7159</v>
      </c>
      <c r="L1768" s="1" t="s">
        <v>482</v>
      </c>
      <c r="N1768" s="1" t="s">
        <v>590</v>
      </c>
      <c r="P1768" s="1" t="s">
        <v>968</v>
      </c>
      <c r="Q1768" s="3">
        <v>0</v>
      </c>
      <c r="S1768" s="23" t="s">
        <v>5949</v>
      </c>
      <c r="T1768" s="23" t="s">
        <v>4931</v>
      </c>
      <c r="U1768" s="3">
        <v>34</v>
      </c>
      <c r="W1768" s="45" t="str">
        <f>HYPERLINK("http://ictvonline.org/taxonomy/p/taxonomy-history?taxnode_id=201854644","ICTVonline=201854644")</f>
        <v>ICTVonline=201854644</v>
      </c>
      <c r="AA1768" s="1">
        <v>201850000</v>
      </c>
      <c r="AB1768" s="1">
        <v>34</v>
      </c>
    </row>
    <row r="1769" spans="1:28" x14ac:dyDescent="0.15">
      <c r="A1769" s="1">
        <v>4561</v>
      </c>
      <c r="B1769" s="1" t="s">
        <v>7159</v>
      </c>
      <c r="L1769" s="1" t="s">
        <v>482</v>
      </c>
      <c r="N1769" s="1" t="s">
        <v>590</v>
      </c>
      <c r="P1769" s="1" t="s">
        <v>893</v>
      </c>
      <c r="Q1769" s="3">
        <v>0</v>
      </c>
      <c r="S1769" s="23" t="s">
        <v>5949</v>
      </c>
      <c r="T1769" s="23" t="s">
        <v>4931</v>
      </c>
      <c r="U1769" s="3">
        <v>34</v>
      </c>
      <c r="W1769" s="45" t="str">
        <f>HYPERLINK("http://ictvonline.org/taxonomy/p/taxonomy-history?taxnode_id=201854645","ICTVonline=201854645")</f>
        <v>ICTVonline=201854645</v>
      </c>
      <c r="AA1769" s="1">
        <v>201850000</v>
      </c>
      <c r="AB1769" s="1">
        <v>34</v>
      </c>
    </row>
    <row r="1770" spans="1:28" x14ac:dyDescent="0.15">
      <c r="A1770" s="1">
        <v>4563</v>
      </c>
      <c r="B1770" s="1" t="s">
        <v>7159</v>
      </c>
      <c r="L1770" s="1" t="s">
        <v>482</v>
      </c>
      <c r="N1770" s="1" t="s">
        <v>590</v>
      </c>
      <c r="P1770" s="1" t="s">
        <v>894</v>
      </c>
      <c r="Q1770" s="3">
        <v>0</v>
      </c>
      <c r="S1770" s="23" t="s">
        <v>5949</v>
      </c>
      <c r="T1770" s="23" t="s">
        <v>4931</v>
      </c>
      <c r="U1770" s="3">
        <v>34</v>
      </c>
      <c r="W1770" s="45" t="str">
        <f>HYPERLINK("http://ictvonline.org/taxonomy/p/taxonomy-history?taxnode_id=201854646","ICTVonline=201854646")</f>
        <v>ICTVonline=201854646</v>
      </c>
      <c r="AA1770" s="1">
        <v>201850000</v>
      </c>
      <c r="AB1770" s="1">
        <v>34</v>
      </c>
    </row>
    <row r="1771" spans="1:28" x14ac:dyDescent="0.15">
      <c r="A1771" s="1">
        <v>4565</v>
      </c>
      <c r="B1771" s="1" t="s">
        <v>7159</v>
      </c>
      <c r="L1771" s="1" t="s">
        <v>482</v>
      </c>
      <c r="N1771" s="1" t="s">
        <v>590</v>
      </c>
      <c r="P1771" s="1" t="s">
        <v>895</v>
      </c>
      <c r="Q1771" s="3">
        <v>0</v>
      </c>
      <c r="S1771" s="23" t="s">
        <v>5949</v>
      </c>
      <c r="T1771" s="23" t="s">
        <v>4931</v>
      </c>
      <c r="U1771" s="3">
        <v>34</v>
      </c>
      <c r="W1771" s="45" t="str">
        <f>HYPERLINK("http://ictvonline.org/taxonomy/p/taxonomy-history?taxnode_id=201854647","ICTVonline=201854647")</f>
        <v>ICTVonline=201854647</v>
      </c>
      <c r="AA1771" s="1">
        <v>201850000</v>
      </c>
      <c r="AB1771" s="1">
        <v>34</v>
      </c>
    </row>
    <row r="1772" spans="1:28" x14ac:dyDescent="0.15">
      <c r="A1772" s="1">
        <v>4567</v>
      </c>
      <c r="B1772" s="1" t="s">
        <v>7159</v>
      </c>
      <c r="L1772" s="1" t="s">
        <v>482</v>
      </c>
      <c r="N1772" s="1" t="s">
        <v>590</v>
      </c>
      <c r="P1772" s="1" t="s">
        <v>971</v>
      </c>
      <c r="Q1772" s="3">
        <v>0</v>
      </c>
      <c r="S1772" s="23" t="s">
        <v>5949</v>
      </c>
      <c r="T1772" s="23" t="s">
        <v>4931</v>
      </c>
      <c r="U1772" s="3">
        <v>34</v>
      </c>
      <c r="W1772" s="45" t="str">
        <f>HYPERLINK("http://ictvonline.org/taxonomy/p/taxonomy-history?taxnode_id=201854648","ICTVonline=201854648")</f>
        <v>ICTVonline=201854648</v>
      </c>
      <c r="AA1772" s="1">
        <v>201850000</v>
      </c>
      <c r="AB1772" s="1">
        <v>34</v>
      </c>
    </row>
    <row r="1773" spans="1:28" x14ac:dyDescent="0.15">
      <c r="A1773" s="1">
        <v>4569</v>
      </c>
      <c r="B1773" s="1" t="s">
        <v>7159</v>
      </c>
      <c r="L1773" s="1" t="s">
        <v>482</v>
      </c>
      <c r="N1773" s="1" t="s">
        <v>590</v>
      </c>
      <c r="P1773" s="1" t="s">
        <v>972</v>
      </c>
      <c r="Q1773" s="3">
        <v>0</v>
      </c>
      <c r="S1773" s="23" t="s">
        <v>5949</v>
      </c>
      <c r="T1773" s="23" t="s">
        <v>4931</v>
      </c>
      <c r="U1773" s="3">
        <v>34</v>
      </c>
      <c r="W1773" s="45" t="str">
        <f>HYPERLINK("http://ictvonline.org/taxonomy/p/taxonomy-history?taxnode_id=201854649","ICTVonline=201854649")</f>
        <v>ICTVonline=201854649</v>
      </c>
      <c r="AA1773" s="1">
        <v>201850000</v>
      </c>
      <c r="AB1773" s="1">
        <v>34</v>
      </c>
    </row>
    <row r="1774" spans="1:28" x14ac:dyDescent="0.15">
      <c r="A1774" s="1">
        <v>4571</v>
      </c>
      <c r="B1774" s="1" t="s">
        <v>7159</v>
      </c>
      <c r="L1774" s="1" t="s">
        <v>482</v>
      </c>
      <c r="N1774" s="1" t="s">
        <v>590</v>
      </c>
      <c r="P1774" s="1" t="s">
        <v>2704</v>
      </c>
      <c r="Q1774" s="3">
        <v>0</v>
      </c>
      <c r="S1774" s="23" t="s">
        <v>5949</v>
      </c>
      <c r="T1774" s="23" t="s">
        <v>4931</v>
      </c>
      <c r="U1774" s="3">
        <v>34</v>
      </c>
      <c r="W1774" s="45" t="str">
        <f>HYPERLINK("http://ictvonline.org/taxonomy/p/taxonomy-history?taxnode_id=201854650","ICTVonline=201854650")</f>
        <v>ICTVonline=201854650</v>
      </c>
      <c r="AA1774" s="1">
        <v>201850000</v>
      </c>
      <c r="AB1774" s="1">
        <v>34</v>
      </c>
    </row>
    <row r="1775" spans="1:28" x14ac:dyDescent="0.15">
      <c r="A1775" s="1">
        <v>4573</v>
      </c>
      <c r="B1775" s="1" t="s">
        <v>7159</v>
      </c>
      <c r="L1775" s="1" t="s">
        <v>482</v>
      </c>
      <c r="N1775" s="1" t="s">
        <v>590</v>
      </c>
      <c r="P1775" s="1" t="s">
        <v>973</v>
      </c>
      <c r="Q1775" s="3">
        <v>0</v>
      </c>
      <c r="S1775" s="23" t="s">
        <v>5949</v>
      </c>
      <c r="T1775" s="23" t="s">
        <v>4931</v>
      </c>
      <c r="U1775" s="3">
        <v>34</v>
      </c>
      <c r="W1775" s="45" t="str">
        <f>HYPERLINK("http://ictvonline.org/taxonomy/p/taxonomy-history?taxnode_id=201854651","ICTVonline=201854651")</f>
        <v>ICTVonline=201854651</v>
      </c>
      <c r="AA1775" s="1">
        <v>201850000</v>
      </c>
      <c r="AB1775" s="1">
        <v>34</v>
      </c>
    </row>
    <row r="1776" spans="1:28" x14ac:dyDescent="0.15">
      <c r="A1776" s="1">
        <v>4575</v>
      </c>
      <c r="B1776" s="1" t="s">
        <v>7159</v>
      </c>
      <c r="L1776" s="1" t="s">
        <v>482</v>
      </c>
      <c r="N1776" s="1" t="s">
        <v>590</v>
      </c>
      <c r="P1776" s="1" t="s">
        <v>974</v>
      </c>
      <c r="Q1776" s="3">
        <v>0</v>
      </c>
      <c r="S1776" s="23" t="s">
        <v>5949</v>
      </c>
      <c r="T1776" s="23" t="s">
        <v>4931</v>
      </c>
      <c r="U1776" s="3">
        <v>34</v>
      </c>
      <c r="W1776" s="45" t="str">
        <f>HYPERLINK("http://ictvonline.org/taxonomy/p/taxonomy-history?taxnode_id=201854652","ICTVonline=201854652")</f>
        <v>ICTVonline=201854652</v>
      </c>
      <c r="AA1776" s="1">
        <v>201850000</v>
      </c>
      <c r="AB1776" s="1">
        <v>34</v>
      </c>
    </row>
    <row r="1777" spans="1:28" x14ac:dyDescent="0.15">
      <c r="A1777" s="1">
        <v>4577</v>
      </c>
      <c r="B1777" s="1" t="s">
        <v>7159</v>
      </c>
      <c r="L1777" s="1" t="s">
        <v>482</v>
      </c>
      <c r="N1777" s="1" t="s">
        <v>590</v>
      </c>
      <c r="P1777" s="1" t="s">
        <v>7139</v>
      </c>
      <c r="Q1777" s="3">
        <v>0</v>
      </c>
      <c r="S1777" s="23" t="s">
        <v>5949</v>
      </c>
      <c r="T1777" s="23" t="s">
        <v>4929</v>
      </c>
      <c r="U1777" s="3">
        <v>34</v>
      </c>
      <c r="V1777" s="3" t="s">
        <v>7136</v>
      </c>
      <c r="W1777" s="45" t="str">
        <f>HYPERLINK("http://ictvonline.org/taxonomy/p/taxonomy-history?taxnode_id=201856674","ICTVonline=201856674")</f>
        <v>ICTVonline=201856674</v>
      </c>
      <c r="AA1777" s="1">
        <v>201850000</v>
      </c>
      <c r="AB1777" s="1">
        <v>34</v>
      </c>
    </row>
    <row r="1778" spans="1:28" x14ac:dyDescent="0.15">
      <c r="A1778" s="1">
        <v>4579</v>
      </c>
      <c r="B1778" s="1" t="s">
        <v>7159</v>
      </c>
      <c r="L1778" s="1" t="s">
        <v>482</v>
      </c>
      <c r="N1778" s="1" t="s">
        <v>590</v>
      </c>
      <c r="P1778" s="1" t="s">
        <v>975</v>
      </c>
      <c r="Q1778" s="3">
        <v>0</v>
      </c>
      <c r="S1778" s="23" t="s">
        <v>5949</v>
      </c>
      <c r="T1778" s="23" t="s">
        <v>4931</v>
      </c>
      <c r="U1778" s="3">
        <v>34</v>
      </c>
      <c r="W1778" s="45" t="str">
        <f>HYPERLINK("http://ictvonline.org/taxonomy/p/taxonomy-history?taxnode_id=201854653","ICTVonline=201854653")</f>
        <v>ICTVonline=201854653</v>
      </c>
      <c r="AA1778" s="1">
        <v>201850000</v>
      </c>
      <c r="AB1778" s="1">
        <v>34</v>
      </c>
    </row>
    <row r="1779" spans="1:28" x14ac:dyDescent="0.15">
      <c r="A1779" s="1">
        <v>4581</v>
      </c>
      <c r="B1779" s="1" t="s">
        <v>7159</v>
      </c>
      <c r="L1779" s="1" t="s">
        <v>482</v>
      </c>
      <c r="N1779" s="1" t="s">
        <v>590</v>
      </c>
      <c r="P1779" s="1" t="s">
        <v>976</v>
      </c>
      <c r="Q1779" s="3">
        <v>0</v>
      </c>
      <c r="S1779" s="23" t="s">
        <v>5949</v>
      </c>
      <c r="T1779" s="23" t="s">
        <v>4931</v>
      </c>
      <c r="U1779" s="3">
        <v>34</v>
      </c>
      <c r="W1779" s="45" t="str">
        <f>HYPERLINK("http://ictvonline.org/taxonomy/p/taxonomy-history?taxnode_id=201854654","ICTVonline=201854654")</f>
        <v>ICTVonline=201854654</v>
      </c>
      <c r="AA1779" s="1">
        <v>201850000</v>
      </c>
      <c r="AB1779" s="1">
        <v>34</v>
      </c>
    </row>
    <row r="1780" spans="1:28" x14ac:dyDescent="0.15">
      <c r="A1780" s="1">
        <v>4583</v>
      </c>
      <c r="B1780" s="1" t="s">
        <v>7159</v>
      </c>
      <c r="L1780" s="1" t="s">
        <v>482</v>
      </c>
      <c r="N1780" s="1" t="s">
        <v>590</v>
      </c>
      <c r="P1780" s="1" t="s">
        <v>977</v>
      </c>
      <c r="Q1780" s="3">
        <v>0</v>
      </c>
      <c r="S1780" s="23" t="s">
        <v>5949</v>
      </c>
      <c r="T1780" s="23" t="s">
        <v>4931</v>
      </c>
      <c r="U1780" s="3">
        <v>34</v>
      </c>
      <c r="W1780" s="45" t="str">
        <f>HYPERLINK("http://ictvonline.org/taxonomy/p/taxonomy-history?taxnode_id=201854655","ICTVonline=201854655")</f>
        <v>ICTVonline=201854655</v>
      </c>
      <c r="AA1780" s="1">
        <v>201850000</v>
      </c>
      <c r="AB1780" s="1">
        <v>34</v>
      </c>
    </row>
    <row r="1781" spans="1:28" x14ac:dyDescent="0.15">
      <c r="A1781" s="1">
        <v>4585</v>
      </c>
      <c r="B1781" s="1" t="s">
        <v>7159</v>
      </c>
      <c r="L1781" s="1" t="s">
        <v>482</v>
      </c>
      <c r="N1781" s="1" t="s">
        <v>590</v>
      </c>
      <c r="P1781" s="1" t="s">
        <v>978</v>
      </c>
      <c r="Q1781" s="3">
        <v>0</v>
      </c>
      <c r="S1781" s="23" t="s">
        <v>5949</v>
      </c>
      <c r="T1781" s="23" t="s">
        <v>4931</v>
      </c>
      <c r="U1781" s="3">
        <v>34</v>
      </c>
      <c r="W1781" s="45" t="str">
        <f>HYPERLINK("http://ictvonline.org/taxonomy/p/taxonomy-history?taxnode_id=201854656","ICTVonline=201854656")</f>
        <v>ICTVonline=201854656</v>
      </c>
      <c r="AA1781" s="1">
        <v>201850000</v>
      </c>
      <c r="AB1781" s="1">
        <v>34</v>
      </c>
    </row>
    <row r="1782" spans="1:28" x14ac:dyDescent="0.15">
      <c r="A1782" s="1">
        <v>4587</v>
      </c>
      <c r="B1782" s="1" t="s">
        <v>7159</v>
      </c>
      <c r="L1782" s="1" t="s">
        <v>482</v>
      </c>
      <c r="N1782" s="1" t="s">
        <v>590</v>
      </c>
      <c r="P1782" s="1" t="s">
        <v>979</v>
      </c>
      <c r="Q1782" s="3">
        <v>0</v>
      </c>
      <c r="S1782" s="23" t="s">
        <v>5949</v>
      </c>
      <c r="T1782" s="23" t="s">
        <v>4931</v>
      </c>
      <c r="U1782" s="3">
        <v>34</v>
      </c>
      <c r="W1782" s="45" t="str">
        <f>HYPERLINK("http://ictvonline.org/taxonomy/p/taxonomy-history?taxnode_id=201854657","ICTVonline=201854657")</f>
        <v>ICTVonline=201854657</v>
      </c>
      <c r="AA1782" s="1">
        <v>201850000</v>
      </c>
      <c r="AB1782" s="1">
        <v>34</v>
      </c>
    </row>
    <row r="1783" spans="1:28" x14ac:dyDescent="0.15">
      <c r="A1783" s="1">
        <v>4589</v>
      </c>
      <c r="B1783" s="1" t="s">
        <v>7159</v>
      </c>
      <c r="L1783" s="1" t="s">
        <v>482</v>
      </c>
      <c r="N1783" s="1" t="s">
        <v>590</v>
      </c>
      <c r="P1783" s="1" t="s">
        <v>5533</v>
      </c>
      <c r="Q1783" s="3">
        <v>0</v>
      </c>
      <c r="S1783" s="23" t="s">
        <v>5949</v>
      </c>
      <c r="T1783" s="23" t="s">
        <v>4931</v>
      </c>
      <c r="U1783" s="3">
        <v>34</v>
      </c>
      <c r="W1783" s="45" t="str">
        <f>HYPERLINK("http://ictvonline.org/taxonomy/p/taxonomy-history?taxnode_id=201855922","ICTVonline=201855922")</f>
        <v>ICTVonline=201855922</v>
      </c>
      <c r="AA1783" s="1">
        <v>201850000</v>
      </c>
      <c r="AB1783" s="1">
        <v>34</v>
      </c>
    </row>
    <row r="1784" spans="1:28" x14ac:dyDescent="0.15">
      <c r="A1784" s="1">
        <v>4591</v>
      </c>
      <c r="B1784" s="1" t="s">
        <v>7159</v>
      </c>
      <c r="L1784" s="1" t="s">
        <v>482</v>
      </c>
      <c r="N1784" s="1" t="s">
        <v>590</v>
      </c>
      <c r="P1784" s="1" t="s">
        <v>642</v>
      </c>
      <c r="Q1784" s="3">
        <v>0</v>
      </c>
      <c r="S1784" s="23" t="s">
        <v>5949</v>
      </c>
      <c r="T1784" s="23" t="s">
        <v>4931</v>
      </c>
      <c r="U1784" s="3">
        <v>34</v>
      </c>
      <c r="W1784" s="45" t="str">
        <f>HYPERLINK("http://ictvonline.org/taxonomy/p/taxonomy-history?taxnode_id=201854658","ICTVonline=201854658")</f>
        <v>ICTVonline=201854658</v>
      </c>
      <c r="AA1784" s="1">
        <v>201850000</v>
      </c>
      <c r="AB1784" s="1">
        <v>34</v>
      </c>
    </row>
    <row r="1785" spans="1:28" x14ac:dyDescent="0.15">
      <c r="A1785" s="1">
        <v>4593</v>
      </c>
      <c r="B1785" s="1" t="s">
        <v>7159</v>
      </c>
      <c r="L1785" s="1" t="s">
        <v>482</v>
      </c>
      <c r="N1785" s="1" t="s">
        <v>590</v>
      </c>
      <c r="P1785" s="1" t="s">
        <v>643</v>
      </c>
      <c r="Q1785" s="3">
        <v>0</v>
      </c>
      <c r="S1785" s="23" t="s">
        <v>5949</v>
      </c>
      <c r="T1785" s="23" t="s">
        <v>4931</v>
      </c>
      <c r="U1785" s="3">
        <v>34</v>
      </c>
      <c r="W1785" s="45" t="str">
        <f>HYPERLINK("http://ictvonline.org/taxonomy/p/taxonomy-history?taxnode_id=201854659","ICTVonline=201854659")</f>
        <v>ICTVonline=201854659</v>
      </c>
      <c r="AA1785" s="1">
        <v>201850000</v>
      </c>
      <c r="AB1785" s="1">
        <v>34</v>
      </c>
    </row>
    <row r="1786" spans="1:28" x14ac:dyDescent="0.15">
      <c r="A1786" s="1">
        <v>4595</v>
      </c>
      <c r="B1786" s="1" t="s">
        <v>7159</v>
      </c>
      <c r="L1786" s="1" t="s">
        <v>482</v>
      </c>
      <c r="N1786" s="1" t="s">
        <v>590</v>
      </c>
      <c r="P1786" s="1" t="s">
        <v>644</v>
      </c>
      <c r="Q1786" s="3">
        <v>0</v>
      </c>
      <c r="S1786" s="23" t="s">
        <v>5949</v>
      </c>
      <c r="T1786" s="23" t="s">
        <v>4931</v>
      </c>
      <c r="U1786" s="3">
        <v>34</v>
      </c>
      <c r="W1786" s="45" t="str">
        <f>HYPERLINK("http://ictvonline.org/taxonomy/p/taxonomy-history?taxnode_id=201854660","ICTVonline=201854660")</f>
        <v>ICTVonline=201854660</v>
      </c>
      <c r="AA1786" s="1">
        <v>201850000</v>
      </c>
      <c r="AB1786" s="1">
        <v>34</v>
      </c>
    </row>
    <row r="1787" spans="1:28" x14ac:dyDescent="0.15">
      <c r="A1787" s="1">
        <v>4597</v>
      </c>
      <c r="B1787" s="1" t="s">
        <v>7159</v>
      </c>
      <c r="L1787" s="1" t="s">
        <v>482</v>
      </c>
      <c r="N1787" s="1" t="s">
        <v>590</v>
      </c>
      <c r="P1787" s="1" t="s">
        <v>645</v>
      </c>
      <c r="Q1787" s="3">
        <v>0</v>
      </c>
      <c r="S1787" s="23" t="s">
        <v>5949</v>
      </c>
      <c r="T1787" s="23" t="s">
        <v>4931</v>
      </c>
      <c r="U1787" s="3">
        <v>34</v>
      </c>
      <c r="W1787" s="45" t="str">
        <f>HYPERLINK("http://ictvonline.org/taxonomy/p/taxonomy-history?taxnode_id=201854661","ICTVonline=201854661")</f>
        <v>ICTVonline=201854661</v>
      </c>
      <c r="AA1787" s="1">
        <v>201850000</v>
      </c>
      <c r="AB1787" s="1">
        <v>34</v>
      </c>
    </row>
    <row r="1788" spans="1:28" x14ac:dyDescent="0.15">
      <c r="A1788" s="1">
        <v>4599</v>
      </c>
      <c r="B1788" s="1" t="s">
        <v>7159</v>
      </c>
      <c r="L1788" s="1" t="s">
        <v>482</v>
      </c>
      <c r="N1788" s="1" t="s">
        <v>590</v>
      </c>
      <c r="P1788" s="1" t="s">
        <v>646</v>
      </c>
      <c r="Q1788" s="3">
        <v>0</v>
      </c>
      <c r="S1788" s="23" t="s">
        <v>5949</v>
      </c>
      <c r="T1788" s="23" t="s">
        <v>4931</v>
      </c>
      <c r="U1788" s="3">
        <v>34</v>
      </c>
      <c r="W1788" s="45" t="str">
        <f>HYPERLINK("http://ictvonline.org/taxonomy/p/taxonomy-history?taxnode_id=201854662","ICTVonline=201854662")</f>
        <v>ICTVonline=201854662</v>
      </c>
      <c r="AA1788" s="1">
        <v>201850000</v>
      </c>
      <c r="AB1788" s="1">
        <v>34</v>
      </c>
    </row>
    <row r="1789" spans="1:28" x14ac:dyDescent="0.15">
      <c r="A1789" s="1">
        <v>4601</v>
      </c>
      <c r="B1789" s="1" t="s">
        <v>7159</v>
      </c>
      <c r="L1789" s="1" t="s">
        <v>482</v>
      </c>
      <c r="N1789" s="1" t="s">
        <v>590</v>
      </c>
      <c r="P1789" s="1" t="s">
        <v>647</v>
      </c>
      <c r="Q1789" s="3">
        <v>0</v>
      </c>
      <c r="S1789" s="23" t="s">
        <v>5949</v>
      </c>
      <c r="T1789" s="23" t="s">
        <v>4931</v>
      </c>
      <c r="U1789" s="3">
        <v>34</v>
      </c>
      <c r="W1789" s="45" t="str">
        <f>HYPERLINK("http://ictvonline.org/taxonomy/p/taxonomy-history?taxnode_id=201854663","ICTVonline=201854663")</f>
        <v>ICTVonline=201854663</v>
      </c>
      <c r="AA1789" s="1">
        <v>201850000</v>
      </c>
      <c r="AB1789" s="1">
        <v>34</v>
      </c>
    </row>
    <row r="1790" spans="1:28" x14ac:dyDescent="0.15">
      <c r="A1790" s="1">
        <v>4603</v>
      </c>
      <c r="B1790" s="1" t="s">
        <v>7159</v>
      </c>
      <c r="L1790" s="1" t="s">
        <v>482</v>
      </c>
      <c r="N1790" s="1" t="s">
        <v>590</v>
      </c>
      <c r="P1790" s="1" t="s">
        <v>648</v>
      </c>
      <c r="Q1790" s="3">
        <v>0</v>
      </c>
      <c r="S1790" s="23" t="s">
        <v>5949</v>
      </c>
      <c r="T1790" s="23" t="s">
        <v>4931</v>
      </c>
      <c r="U1790" s="3">
        <v>34</v>
      </c>
      <c r="W1790" s="45" t="str">
        <f>HYPERLINK("http://ictvonline.org/taxonomy/p/taxonomy-history?taxnode_id=201854664","ICTVonline=201854664")</f>
        <v>ICTVonline=201854664</v>
      </c>
      <c r="AA1790" s="1">
        <v>201850000</v>
      </c>
      <c r="AB1790" s="1">
        <v>34</v>
      </c>
    </row>
    <row r="1791" spans="1:28" x14ac:dyDescent="0.15">
      <c r="A1791" s="1">
        <v>4605</v>
      </c>
      <c r="B1791" s="1" t="s">
        <v>7159</v>
      </c>
      <c r="L1791" s="1" t="s">
        <v>482</v>
      </c>
      <c r="N1791" s="1" t="s">
        <v>590</v>
      </c>
      <c r="P1791" s="1" t="s">
        <v>649</v>
      </c>
      <c r="Q1791" s="3">
        <v>0</v>
      </c>
      <c r="S1791" s="23" t="s">
        <v>5949</v>
      </c>
      <c r="T1791" s="23" t="s">
        <v>4931</v>
      </c>
      <c r="U1791" s="3">
        <v>34</v>
      </c>
      <c r="W1791" s="45" t="str">
        <f>HYPERLINK("http://ictvonline.org/taxonomy/p/taxonomy-history?taxnode_id=201854665","ICTVonline=201854665")</f>
        <v>ICTVonline=201854665</v>
      </c>
      <c r="AA1791" s="1">
        <v>201850000</v>
      </c>
      <c r="AB1791" s="1">
        <v>34</v>
      </c>
    </row>
    <row r="1792" spans="1:28" x14ac:dyDescent="0.15">
      <c r="A1792" s="1">
        <v>4607</v>
      </c>
      <c r="B1792" s="1" t="s">
        <v>7159</v>
      </c>
      <c r="L1792" s="1" t="s">
        <v>482</v>
      </c>
      <c r="N1792" s="1" t="s">
        <v>590</v>
      </c>
      <c r="P1792" s="1" t="s">
        <v>461</v>
      </c>
      <c r="Q1792" s="3">
        <v>0</v>
      </c>
      <c r="S1792" s="23" t="s">
        <v>5949</v>
      </c>
      <c r="T1792" s="23" t="s">
        <v>4931</v>
      </c>
      <c r="U1792" s="3">
        <v>34</v>
      </c>
      <c r="W1792" s="45" t="str">
        <f>HYPERLINK("http://ictvonline.org/taxonomy/p/taxonomy-history?taxnode_id=201854666","ICTVonline=201854666")</f>
        <v>ICTVonline=201854666</v>
      </c>
      <c r="AA1792" s="1">
        <v>201850000</v>
      </c>
      <c r="AB1792" s="1">
        <v>34</v>
      </c>
    </row>
    <row r="1793" spans="1:28" x14ac:dyDescent="0.15">
      <c r="A1793" s="1">
        <v>4609</v>
      </c>
      <c r="B1793" s="1" t="s">
        <v>7159</v>
      </c>
      <c r="L1793" s="1" t="s">
        <v>482</v>
      </c>
      <c r="N1793" s="1" t="s">
        <v>590</v>
      </c>
      <c r="P1793" s="1" t="s">
        <v>1584</v>
      </c>
      <c r="Q1793" s="3">
        <v>0</v>
      </c>
      <c r="S1793" s="23" t="s">
        <v>5949</v>
      </c>
      <c r="T1793" s="23" t="s">
        <v>4931</v>
      </c>
      <c r="U1793" s="3">
        <v>34</v>
      </c>
      <c r="W1793" s="45" t="str">
        <f>HYPERLINK("http://ictvonline.org/taxonomy/p/taxonomy-history?taxnode_id=201854667","ICTVonline=201854667")</f>
        <v>ICTVonline=201854667</v>
      </c>
      <c r="AA1793" s="1">
        <v>201850000</v>
      </c>
      <c r="AB1793" s="1">
        <v>34</v>
      </c>
    </row>
    <row r="1794" spans="1:28" x14ac:dyDescent="0.15">
      <c r="A1794" s="1">
        <v>4611</v>
      </c>
      <c r="B1794" s="1" t="s">
        <v>7159</v>
      </c>
      <c r="L1794" s="1" t="s">
        <v>482</v>
      </c>
      <c r="N1794" s="1" t="s">
        <v>590</v>
      </c>
      <c r="P1794" s="1" t="s">
        <v>1585</v>
      </c>
      <c r="Q1794" s="3">
        <v>0</v>
      </c>
      <c r="S1794" s="23" t="s">
        <v>5949</v>
      </c>
      <c r="T1794" s="23" t="s">
        <v>4931</v>
      </c>
      <c r="U1794" s="3">
        <v>34</v>
      </c>
      <c r="W1794" s="45" t="str">
        <f>HYPERLINK("http://ictvonline.org/taxonomy/p/taxonomy-history?taxnode_id=201854668","ICTVonline=201854668")</f>
        <v>ICTVonline=201854668</v>
      </c>
      <c r="AA1794" s="1">
        <v>201850000</v>
      </c>
      <c r="AB1794" s="1">
        <v>34</v>
      </c>
    </row>
    <row r="1795" spans="1:28" x14ac:dyDescent="0.15">
      <c r="A1795" s="1">
        <v>4613</v>
      </c>
      <c r="B1795" s="1" t="s">
        <v>7159</v>
      </c>
      <c r="L1795" s="1" t="s">
        <v>482</v>
      </c>
      <c r="N1795" s="1" t="s">
        <v>590</v>
      </c>
      <c r="P1795" s="1" t="s">
        <v>513</v>
      </c>
      <c r="Q1795" s="3">
        <v>0</v>
      </c>
      <c r="S1795" s="23" t="s">
        <v>5949</v>
      </c>
      <c r="T1795" s="23" t="s">
        <v>4931</v>
      </c>
      <c r="U1795" s="3">
        <v>34</v>
      </c>
      <c r="W1795" s="45" t="str">
        <f>HYPERLINK("http://ictvonline.org/taxonomy/p/taxonomy-history?taxnode_id=201854669","ICTVonline=201854669")</f>
        <v>ICTVonline=201854669</v>
      </c>
      <c r="AA1795" s="1">
        <v>201850000</v>
      </c>
      <c r="AB1795" s="1">
        <v>34</v>
      </c>
    </row>
    <row r="1796" spans="1:28" x14ac:dyDescent="0.15">
      <c r="A1796" s="1">
        <v>4615</v>
      </c>
      <c r="B1796" s="1" t="s">
        <v>7159</v>
      </c>
      <c r="L1796" s="1" t="s">
        <v>482</v>
      </c>
      <c r="N1796" s="1" t="s">
        <v>590</v>
      </c>
      <c r="P1796" s="1" t="s">
        <v>514</v>
      </c>
      <c r="Q1796" s="3">
        <v>1</v>
      </c>
      <c r="S1796" s="23" t="s">
        <v>5949</v>
      </c>
      <c r="T1796" s="23" t="s">
        <v>4931</v>
      </c>
      <c r="U1796" s="3">
        <v>34</v>
      </c>
      <c r="W1796" s="45" t="str">
        <f>HYPERLINK("http://ictvonline.org/taxonomy/p/taxonomy-history?taxnode_id=201854670","ICTVonline=201854670")</f>
        <v>ICTVonline=201854670</v>
      </c>
      <c r="AA1796" s="1">
        <v>201850000</v>
      </c>
      <c r="AB1796" s="1">
        <v>34</v>
      </c>
    </row>
    <row r="1797" spans="1:28" x14ac:dyDescent="0.15">
      <c r="A1797" s="1">
        <v>4617</v>
      </c>
      <c r="B1797" s="1" t="s">
        <v>7159</v>
      </c>
      <c r="L1797" s="1" t="s">
        <v>482</v>
      </c>
      <c r="N1797" s="1" t="s">
        <v>590</v>
      </c>
      <c r="P1797" s="1" t="s">
        <v>515</v>
      </c>
      <c r="Q1797" s="3">
        <v>0</v>
      </c>
      <c r="S1797" s="23" t="s">
        <v>5949</v>
      </c>
      <c r="T1797" s="23" t="s">
        <v>4931</v>
      </c>
      <c r="U1797" s="3">
        <v>34</v>
      </c>
      <c r="W1797" s="45" t="str">
        <f>HYPERLINK("http://ictvonline.org/taxonomy/p/taxonomy-history?taxnode_id=201854671","ICTVonline=201854671")</f>
        <v>ICTVonline=201854671</v>
      </c>
      <c r="AA1797" s="1">
        <v>201850000</v>
      </c>
      <c r="AB1797" s="1">
        <v>34</v>
      </c>
    </row>
    <row r="1798" spans="1:28" x14ac:dyDescent="0.15">
      <c r="A1798" s="1">
        <v>4619</v>
      </c>
      <c r="B1798" s="1" t="s">
        <v>7159</v>
      </c>
      <c r="L1798" s="1" t="s">
        <v>482</v>
      </c>
      <c r="N1798" s="1" t="s">
        <v>590</v>
      </c>
      <c r="P1798" s="1" t="s">
        <v>1462</v>
      </c>
      <c r="Q1798" s="3">
        <v>0</v>
      </c>
      <c r="S1798" s="23" t="s">
        <v>5949</v>
      </c>
      <c r="T1798" s="23" t="s">
        <v>4931</v>
      </c>
      <c r="U1798" s="3">
        <v>34</v>
      </c>
      <c r="W1798" s="45" t="str">
        <f>HYPERLINK("http://ictvonline.org/taxonomy/p/taxonomy-history?taxnode_id=201854672","ICTVonline=201854672")</f>
        <v>ICTVonline=201854672</v>
      </c>
      <c r="AA1798" s="1">
        <v>201850000</v>
      </c>
      <c r="AB1798" s="1">
        <v>34</v>
      </c>
    </row>
    <row r="1799" spans="1:28" x14ac:dyDescent="0.15">
      <c r="A1799" s="1">
        <v>4621</v>
      </c>
      <c r="B1799" s="1" t="s">
        <v>7159</v>
      </c>
      <c r="L1799" s="1" t="s">
        <v>482</v>
      </c>
      <c r="N1799" s="1" t="s">
        <v>590</v>
      </c>
      <c r="P1799" s="1" t="s">
        <v>1463</v>
      </c>
      <c r="Q1799" s="3">
        <v>0</v>
      </c>
      <c r="S1799" s="23" t="s">
        <v>5949</v>
      </c>
      <c r="T1799" s="23" t="s">
        <v>4931</v>
      </c>
      <c r="U1799" s="3">
        <v>34</v>
      </c>
      <c r="W1799" s="45" t="str">
        <f>HYPERLINK("http://ictvonline.org/taxonomy/p/taxonomy-history?taxnode_id=201854673","ICTVonline=201854673")</f>
        <v>ICTVonline=201854673</v>
      </c>
      <c r="AA1799" s="1">
        <v>201850000</v>
      </c>
      <c r="AB1799" s="1">
        <v>34</v>
      </c>
    </row>
    <row r="1800" spans="1:28" x14ac:dyDescent="0.15">
      <c r="A1800" s="1">
        <v>4623</v>
      </c>
      <c r="B1800" s="1" t="s">
        <v>7159</v>
      </c>
      <c r="L1800" s="1" t="s">
        <v>482</v>
      </c>
      <c r="N1800" s="1" t="s">
        <v>590</v>
      </c>
      <c r="P1800" s="1" t="s">
        <v>384</v>
      </c>
      <c r="Q1800" s="3">
        <v>0</v>
      </c>
      <c r="S1800" s="23" t="s">
        <v>5949</v>
      </c>
      <c r="T1800" s="23" t="s">
        <v>4931</v>
      </c>
      <c r="U1800" s="3">
        <v>34</v>
      </c>
      <c r="W1800" s="45" t="str">
        <f>HYPERLINK("http://ictvonline.org/taxonomy/p/taxonomy-history?taxnode_id=201854674","ICTVonline=201854674")</f>
        <v>ICTVonline=201854674</v>
      </c>
      <c r="AA1800" s="1">
        <v>201850000</v>
      </c>
      <c r="AB1800" s="1">
        <v>34</v>
      </c>
    </row>
    <row r="1801" spans="1:28" x14ac:dyDescent="0.15">
      <c r="A1801" s="1">
        <v>4625</v>
      </c>
      <c r="B1801" s="1" t="s">
        <v>7159</v>
      </c>
      <c r="L1801" s="1" t="s">
        <v>482</v>
      </c>
      <c r="N1801" s="1" t="s">
        <v>590</v>
      </c>
      <c r="P1801" s="1" t="s">
        <v>7140</v>
      </c>
      <c r="Q1801" s="3">
        <v>0</v>
      </c>
      <c r="S1801" s="23" t="s">
        <v>5949</v>
      </c>
      <c r="T1801" s="23" t="s">
        <v>4929</v>
      </c>
      <c r="U1801" s="3">
        <v>34</v>
      </c>
      <c r="V1801" s="3" t="s">
        <v>7136</v>
      </c>
      <c r="W1801" s="45" t="str">
        <f>HYPERLINK("http://ictvonline.org/taxonomy/p/taxonomy-history?taxnode_id=201856675","ICTVonline=201856675")</f>
        <v>ICTVonline=201856675</v>
      </c>
      <c r="AA1801" s="1">
        <v>201850000</v>
      </c>
      <c r="AB1801" s="1">
        <v>34</v>
      </c>
    </row>
    <row r="1802" spans="1:28" x14ac:dyDescent="0.15">
      <c r="A1802" s="1">
        <v>4627</v>
      </c>
      <c r="B1802" s="1" t="s">
        <v>7159</v>
      </c>
      <c r="L1802" s="1" t="s">
        <v>482</v>
      </c>
      <c r="N1802" s="1" t="s">
        <v>590</v>
      </c>
      <c r="P1802" s="1" t="s">
        <v>385</v>
      </c>
      <c r="Q1802" s="3">
        <v>0</v>
      </c>
      <c r="S1802" s="23" t="s">
        <v>5949</v>
      </c>
      <c r="T1802" s="23" t="s">
        <v>4931</v>
      </c>
      <c r="U1802" s="3">
        <v>34</v>
      </c>
      <c r="W1802" s="45" t="str">
        <f>HYPERLINK("http://ictvonline.org/taxonomy/p/taxonomy-history?taxnode_id=201854675","ICTVonline=201854675")</f>
        <v>ICTVonline=201854675</v>
      </c>
      <c r="AA1802" s="1">
        <v>201850000</v>
      </c>
      <c r="AB1802" s="1">
        <v>34</v>
      </c>
    </row>
    <row r="1803" spans="1:28" x14ac:dyDescent="0.15">
      <c r="A1803" s="1">
        <v>4629</v>
      </c>
      <c r="B1803" s="1" t="s">
        <v>7159</v>
      </c>
      <c r="L1803" s="1" t="s">
        <v>482</v>
      </c>
      <c r="N1803" s="1" t="s">
        <v>590</v>
      </c>
      <c r="P1803" s="1" t="s">
        <v>386</v>
      </c>
      <c r="Q1803" s="3">
        <v>0</v>
      </c>
      <c r="S1803" s="23" t="s">
        <v>5949</v>
      </c>
      <c r="T1803" s="23" t="s">
        <v>4931</v>
      </c>
      <c r="U1803" s="3">
        <v>34</v>
      </c>
      <c r="W1803" s="45" t="str">
        <f>HYPERLINK("http://ictvonline.org/taxonomy/p/taxonomy-history?taxnode_id=201854676","ICTVonline=201854676")</f>
        <v>ICTVonline=201854676</v>
      </c>
      <c r="AA1803" s="1">
        <v>201850000</v>
      </c>
      <c r="AB1803" s="1">
        <v>34</v>
      </c>
    </row>
    <row r="1804" spans="1:28" x14ac:dyDescent="0.15">
      <c r="A1804" s="1">
        <v>4631</v>
      </c>
      <c r="B1804" s="1" t="s">
        <v>7159</v>
      </c>
      <c r="L1804" s="1" t="s">
        <v>482</v>
      </c>
      <c r="N1804" s="1" t="s">
        <v>590</v>
      </c>
      <c r="P1804" s="1" t="s">
        <v>387</v>
      </c>
      <c r="Q1804" s="3">
        <v>0</v>
      </c>
      <c r="S1804" s="23" t="s">
        <v>5949</v>
      </c>
      <c r="T1804" s="23" t="s">
        <v>4931</v>
      </c>
      <c r="U1804" s="3">
        <v>34</v>
      </c>
      <c r="W1804" s="45" t="str">
        <f>HYPERLINK("http://ictvonline.org/taxonomy/p/taxonomy-history?taxnode_id=201854677","ICTVonline=201854677")</f>
        <v>ICTVonline=201854677</v>
      </c>
      <c r="AA1804" s="1">
        <v>201850000</v>
      </c>
      <c r="AB1804" s="1">
        <v>34</v>
      </c>
    </row>
    <row r="1805" spans="1:28" x14ac:dyDescent="0.15">
      <c r="A1805" s="1">
        <v>4633</v>
      </c>
      <c r="B1805" s="1" t="s">
        <v>7159</v>
      </c>
      <c r="L1805" s="1" t="s">
        <v>482</v>
      </c>
      <c r="N1805" s="1" t="s">
        <v>590</v>
      </c>
      <c r="P1805" s="1" t="s">
        <v>1466</v>
      </c>
      <c r="Q1805" s="3">
        <v>0</v>
      </c>
      <c r="S1805" s="23" t="s">
        <v>5949</v>
      </c>
      <c r="T1805" s="23" t="s">
        <v>4931</v>
      </c>
      <c r="U1805" s="3">
        <v>34</v>
      </c>
      <c r="W1805" s="45" t="str">
        <f>HYPERLINK("http://ictvonline.org/taxonomy/p/taxonomy-history?taxnode_id=201854678","ICTVonline=201854678")</f>
        <v>ICTVonline=201854678</v>
      </c>
      <c r="AA1805" s="1">
        <v>201850000</v>
      </c>
      <c r="AB1805" s="1">
        <v>34</v>
      </c>
    </row>
    <row r="1806" spans="1:28" x14ac:dyDescent="0.15">
      <c r="A1806" s="1">
        <v>4635</v>
      </c>
      <c r="B1806" s="1" t="s">
        <v>7159</v>
      </c>
      <c r="L1806" s="1" t="s">
        <v>482</v>
      </c>
      <c r="N1806" s="1" t="s">
        <v>590</v>
      </c>
      <c r="P1806" s="1" t="s">
        <v>1467</v>
      </c>
      <c r="Q1806" s="3">
        <v>0</v>
      </c>
      <c r="S1806" s="23" t="s">
        <v>5949</v>
      </c>
      <c r="T1806" s="23" t="s">
        <v>4931</v>
      </c>
      <c r="U1806" s="3">
        <v>34</v>
      </c>
      <c r="W1806" s="45" t="str">
        <f>HYPERLINK("http://ictvonline.org/taxonomy/p/taxonomy-history?taxnode_id=201854679","ICTVonline=201854679")</f>
        <v>ICTVonline=201854679</v>
      </c>
      <c r="AA1806" s="1">
        <v>201850000</v>
      </c>
      <c r="AB1806" s="1">
        <v>34</v>
      </c>
    </row>
    <row r="1807" spans="1:28" x14ac:dyDescent="0.15">
      <c r="A1807" s="1">
        <v>4637</v>
      </c>
      <c r="B1807" s="1" t="s">
        <v>7159</v>
      </c>
      <c r="L1807" s="1" t="s">
        <v>482</v>
      </c>
      <c r="N1807" s="1" t="s">
        <v>590</v>
      </c>
      <c r="P1807" s="1" t="s">
        <v>1888</v>
      </c>
      <c r="Q1807" s="3">
        <v>0</v>
      </c>
      <c r="S1807" s="23" t="s">
        <v>5949</v>
      </c>
      <c r="T1807" s="23" t="s">
        <v>4931</v>
      </c>
      <c r="U1807" s="3">
        <v>34</v>
      </c>
      <c r="W1807" s="45" t="str">
        <f>HYPERLINK("http://ictvonline.org/taxonomy/p/taxonomy-history?taxnode_id=201854680","ICTVonline=201854680")</f>
        <v>ICTVonline=201854680</v>
      </c>
      <c r="AA1807" s="1">
        <v>201850000</v>
      </c>
      <c r="AB1807" s="1">
        <v>34</v>
      </c>
    </row>
    <row r="1808" spans="1:28" x14ac:dyDescent="0.15">
      <c r="A1808" s="1">
        <v>4639</v>
      </c>
      <c r="B1808" s="1" t="s">
        <v>7159</v>
      </c>
      <c r="L1808" s="1" t="s">
        <v>482</v>
      </c>
      <c r="N1808" s="1" t="s">
        <v>590</v>
      </c>
      <c r="P1808" s="1" t="s">
        <v>7141</v>
      </c>
      <c r="Q1808" s="3">
        <v>0</v>
      </c>
      <c r="S1808" s="23" t="s">
        <v>5949</v>
      </c>
      <c r="T1808" s="23" t="s">
        <v>4929</v>
      </c>
      <c r="U1808" s="3">
        <v>34</v>
      </c>
      <c r="V1808" s="3" t="s">
        <v>7136</v>
      </c>
      <c r="W1808" s="45" t="str">
        <f>HYPERLINK("http://ictvonline.org/taxonomy/p/taxonomy-history?taxnode_id=201856676","ICTVonline=201856676")</f>
        <v>ICTVonline=201856676</v>
      </c>
      <c r="AA1808" s="1">
        <v>201850000</v>
      </c>
      <c r="AB1808" s="1">
        <v>34</v>
      </c>
    </row>
    <row r="1809" spans="1:28" x14ac:dyDescent="0.15">
      <c r="A1809" s="1">
        <v>4641</v>
      </c>
      <c r="B1809" s="1" t="s">
        <v>7159</v>
      </c>
      <c r="L1809" s="1" t="s">
        <v>482</v>
      </c>
      <c r="N1809" s="1" t="s">
        <v>590</v>
      </c>
      <c r="P1809" s="1" t="s">
        <v>1468</v>
      </c>
      <c r="Q1809" s="3">
        <v>0</v>
      </c>
      <c r="S1809" s="23" t="s">
        <v>5949</v>
      </c>
      <c r="T1809" s="23" t="s">
        <v>4931</v>
      </c>
      <c r="U1809" s="3">
        <v>34</v>
      </c>
      <c r="W1809" s="45" t="str">
        <f>HYPERLINK("http://ictvonline.org/taxonomy/p/taxonomy-history?taxnode_id=201854681","ICTVonline=201854681")</f>
        <v>ICTVonline=201854681</v>
      </c>
      <c r="AA1809" s="1">
        <v>201850000</v>
      </c>
      <c r="AB1809" s="1">
        <v>34</v>
      </c>
    </row>
    <row r="1810" spans="1:28" x14ac:dyDescent="0.15">
      <c r="A1810" s="1">
        <v>4643</v>
      </c>
      <c r="B1810" s="1" t="s">
        <v>7159</v>
      </c>
      <c r="L1810" s="1" t="s">
        <v>482</v>
      </c>
      <c r="N1810" s="1" t="s">
        <v>590</v>
      </c>
      <c r="P1810" s="1" t="s">
        <v>197</v>
      </c>
      <c r="Q1810" s="3">
        <v>0</v>
      </c>
      <c r="S1810" s="23" t="s">
        <v>5949</v>
      </c>
      <c r="T1810" s="23" t="s">
        <v>4931</v>
      </c>
      <c r="U1810" s="3">
        <v>34</v>
      </c>
      <c r="W1810" s="45" t="str">
        <f>HYPERLINK("http://ictvonline.org/taxonomy/p/taxonomy-history?taxnode_id=201854682","ICTVonline=201854682")</f>
        <v>ICTVonline=201854682</v>
      </c>
      <c r="AA1810" s="1">
        <v>201850000</v>
      </c>
      <c r="AB1810" s="1">
        <v>34</v>
      </c>
    </row>
    <row r="1811" spans="1:28" x14ac:dyDescent="0.15">
      <c r="A1811" s="1">
        <v>4645</v>
      </c>
      <c r="B1811" s="1" t="s">
        <v>7159</v>
      </c>
      <c r="L1811" s="1" t="s">
        <v>482</v>
      </c>
      <c r="N1811" s="1" t="s">
        <v>590</v>
      </c>
      <c r="P1811" s="1" t="s">
        <v>4003</v>
      </c>
      <c r="Q1811" s="3">
        <v>0</v>
      </c>
      <c r="S1811" s="23" t="s">
        <v>5949</v>
      </c>
      <c r="T1811" s="23" t="s">
        <v>4931</v>
      </c>
      <c r="U1811" s="3">
        <v>34</v>
      </c>
      <c r="W1811" s="45" t="str">
        <f>HYPERLINK("http://ictvonline.org/taxonomy/p/taxonomy-history?taxnode_id=201854683","ICTVonline=201854683")</f>
        <v>ICTVonline=201854683</v>
      </c>
      <c r="AA1811" s="1">
        <v>201850000</v>
      </c>
      <c r="AB1811" s="1">
        <v>34</v>
      </c>
    </row>
    <row r="1812" spans="1:28" x14ac:dyDescent="0.15">
      <c r="A1812" s="1">
        <v>4647</v>
      </c>
      <c r="B1812" s="1" t="s">
        <v>7159</v>
      </c>
      <c r="L1812" s="1" t="s">
        <v>482</v>
      </c>
      <c r="N1812" s="1" t="s">
        <v>590</v>
      </c>
      <c r="P1812" s="1" t="s">
        <v>1469</v>
      </c>
      <c r="Q1812" s="3">
        <v>0</v>
      </c>
      <c r="S1812" s="23" t="s">
        <v>5949</v>
      </c>
      <c r="T1812" s="23" t="s">
        <v>4931</v>
      </c>
      <c r="U1812" s="3">
        <v>34</v>
      </c>
      <c r="W1812" s="45" t="str">
        <f>HYPERLINK("http://ictvonline.org/taxonomy/p/taxonomy-history?taxnode_id=201854684","ICTVonline=201854684")</f>
        <v>ICTVonline=201854684</v>
      </c>
      <c r="AA1812" s="1">
        <v>201850000</v>
      </c>
      <c r="AB1812" s="1">
        <v>34</v>
      </c>
    </row>
    <row r="1813" spans="1:28" x14ac:dyDescent="0.15">
      <c r="A1813" s="1">
        <v>4649</v>
      </c>
      <c r="B1813" s="1" t="s">
        <v>7159</v>
      </c>
      <c r="L1813" s="1" t="s">
        <v>482</v>
      </c>
      <c r="N1813" s="1" t="s">
        <v>590</v>
      </c>
      <c r="P1813" s="1" t="s">
        <v>5534</v>
      </c>
      <c r="Q1813" s="3">
        <v>0</v>
      </c>
      <c r="S1813" s="23" t="s">
        <v>5949</v>
      </c>
      <c r="T1813" s="23" t="s">
        <v>4931</v>
      </c>
      <c r="U1813" s="3">
        <v>34</v>
      </c>
      <c r="W1813" s="45" t="str">
        <f>HYPERLINK("http://ictvonline.org/taxonomy/p/taxonomy-history?taxnode_id=201855923","ICTVonline=201855923")</f>
        <v>ICTVonline=201855923</v>
      </c>
      <c r="AA1813" s="1">
        <v>201850000</v>
      </c>
      <c r="AB1813" s="1">
        <v>34</v>
      </c>
    </row>
    <row r="1814" spans="1:28" x14ac:dyDescent="0.15">
      <c r="A1814" s="1">
        <v>4651</v>
      </c>
      <c r="B1814" s="1" t="s">
        <v>7159</v>
      </c>
      <c r="L1814" s="1" t="s">
        <v>482</v>
      </c>
      <c r="N1814" s="1" t="s">
        <v>590</v>
      </c>
      <c r="P1814" s="1" t="s">
        <v>1470</v>
      </c>
      <c r="Q1814" s="3">
        <v>0</v>
      </c>
      <c r="S1814" s="23" t="s">
        <v>5949</v>
      </c>
      <c r="T1814" s="23" t="s">
        <v>4931</v>
      </c>
      <c r="U1814" s="3">
        <v>34</v>
      </c>
      <c r="W1814" s="45" t="str">
        <f>HYPERLINK("http://ictvonline.org/taxonomy/p/taxonomy-history?taxnode_id=201854685","ICTVonline=201854685")</f>
        <v>ICTVonline=201854685</v>
      </c>
      <c r="AA1814" s="1">
        <v>201850000</v>
      </c>
      <c r="AB1814" s="1">
        <v>34</v>
      </c>
    </row>
    <row r="1815" spans="1:28" x14ac:dyDescent="0.15">
      <c r="A1815" s="1">
        <v>4653</v>
      </c>
      <c r="B1815" s="1" t="s">
        <v>7159</v>
      </c>
      <c r="L1815" s="1" t="s">
        <v>482</v>
      </c>
      <c r="N1815" s="1" t="s">
        <v>590</v>
      </c>
      <c r="P1815" s="1" t="s">
        <v>1471</v>
      </c>
      <c r="Q1815" s="3">
        <v>0</v>
      </c>
      <c r="S1815" s="23" t="s">
        <v>5949</v>
      </c>
      <c r="T1815" s="23" t="s">
        <v>4931</v>
      </c>
      <c r="U1815" s="3">
        <v>34</v>
      </c>
      <c r="W1815" s="45" t="str">
        <f>HYPERLINK("http://ictvonline.org/taxonomy/p/taxonomy-history?taxnode_id=201854686","ICTVonline=201854686")</f>
        <v>ICTVonline=201854686</v>
      </c>
      <c r="AA1815" s="1">
        <v>201850000</v>
      </c>
      <c r="AB1815" s="1">
        <v>34</v>
      </c>
    </row>
    <row r="1816" spans="1:28" x14ac:dyDescent="0.15">
      <c r="A1816" s="1">
        <v>4655</v>
      </c>
      <c r="B1816" s="1" t="s">
        <v>7159</v>
      </c>
      <c r="L1816" s="1" t="s">
        <v>482</v>
      </c>
      <c r="N1816" s="1" t="s">
        <v>590</v>
      </c>
      <c r="P1816" s="1" t="s">
        <v>248</v>
      </c>
      <c r="Q1816" s="3">
        <v>0</v>
      </c>
      <c r="S1816" s="23" t="s">
        <v>5949</v>
      </c>
      <c r="T1816" s="23" t="s">
        <v>4931</v>
      </c>
      <c r="U1816" s="3">
        <v>34</v>
      </c>
      <c r="W1816" s="45" t="str">
        <f>HYPERLINK("http://ictvonline.org/taxonomy/p/taxonomy-history?taxnode_id=201854687","ICTVonline=201854687")</f>
        <v>ICTVonline=201854687</v>
      </c>
      <c r="AA1816" s="1">
        <v>201850000</v>
      </c>
      <c r="AB1816" s="1">
        <v>34</v>
      </c>
    </row>
    <row r="1817" spans="1:28" x14ac:dyDescent="0.15">
      <c r="A1817" s="1">
        <v>4657</v>
      </c>
      <c r="B1817" s="1" t="s">
        <v>7159</v>
      </c>
      <c r="L1817" s="1" t="s">
        <v>482</v>
      </c>
      <c r="N1817" s="1" t="s">
        <v>590</v>
      </c>
      <c r="P1817" s="1" t="s">
        <v>249</v>
      </c>
      <c r="Q1817" s="3">
        <v>0</v>
      </c>
      <c r="S1817" s="23" t="s">
        <v>5949</v>
      </c>
      <c r="T1817" s="23" t="s">
        <v>4931</v>
      </c>
      <c r="U1817" s="3">
        <v>34</v>
      </c>
      <c r="W1817" s="45" t="str">
        <f>HYPERLINK("http://ictvonline.org/taxonomy/p/taxonomy-history?taxnode_id=201854688","ICTVonline=201854688")</f>
        <v>ICTVonline=201854688</v>
      </c>
      <c r="AA1817" s="1">
        <v>201850000</v>
      </c>
      <c r="AB1817" s="1">
        <v>34</v>
      </c>
    </row>
    <row r="1818" spans="1:28" x14ac:dyDescent="0.15">
      <c r="A1818" s="1">
        <v>4659</v>
      </c>
      <c r="B1818" s="1" t="s">
        <v>7159</v>
      </c>
      <c r="L1818" s="1" t="s">
        <v>482</v>
      </c>
      <c r="N1818" s="1" t="s">
        <v>590</v>
      </c>
      <c r="P1818" s="1" t="s">
        <v>198</v>
      </c>
      <c r="Q1818" s="3">
        <v>0</v>
      </c>
      <c r="S1818" s="23" t="s">
        <v>5949</v>
      </c>
      <c r="T1818" s="23" t="s">
        <v>4931</v>
      </c>
      <c r="U1818" s="3">
        <v>34</v>
      </c>
      <c r="W1818" s="45" t="str">
        <f>HYPERLINK("http://ictvonline.org/taxonomy/p/taxonomy-history?taxnode_id=201854689","ICTVonline=201854689")</f>
        <v>ICTVonline=201854689</v>
      </c>
      <c r="AA1818" s="1">
        <v>201850000</v>
      </c>
      <c r="AB1818" s="1">
        <v>34</v>
      </c>
    </row>
    <row r="1819" spans="1:28" x14ac:dyDescent="0.15">
      <c r="A1819" s="1">
        <v>4661</v>
      </c>
      <c r="B1819" s="1" t="s">
        <v>7159</v>
      </c>
      <c r="L1819" s="1" t="s">
        <v>482</v>
      </c>
      <c r="N1819" s="1" t="s">
        <v>590</v>
      </c>
      <c r="P1819" s="1" t="s">
        <v>250</v>
      </c>
      <c r="Q1819" s="3">
        <v>0</v>
      </c>
      <c r="S1819" s="23" t="s">
        <v>5949</v>
      </c>
      <c r="T1819" s="23" t="s">
        <v>4931</v>
      </c>
      <c r="U1819" s="3">
        <v>34</v>
      </c>
      <c r="W1819" s="45" t="str">
        <f>HYPERLINK("http://ictvonline.org/taxonomy/p/taxonomy-history?taxnode_id=201854690","ICTVonline=201854690")</f>
        <v>ICTVonline=201854690</v>
      </c>
      <c r="AA1819" s="1">
        <v>201850000</v>
      </c>
      <c r="AB1819" s="1">
        <v>34</v>
      </c>
    </row>
    <row r="1820" spans="1:28" x14ac:dyDescent="0.15">
      <c r="A1820" s="1">
        <v>4663</v>
      </c>
      <c r="B1820" s="1" t="s">
        <v>7159</v>
      </c>
      <c r="L1820" s="1" t="s">
        <v>482</v>
      </c>
      <c r="N1820" s="1" t="s">
        <v>590</v>
      </c>
      <c r="P1820" s="1" t="s">
        <v>4004</v>
      </c>
      <c r="Q1820" s="3">
        <v>0</v>
      </c>
      <c r="S1820" s="23" t="s">
        <v>5949</v>
      </c>
      <c r="T1820" s="23" t="s">
        <v>4931</v>
      </c>
      <c r="U1820" s="3">
        <v>34</v>
      </c>
      <c r="W1820" s="45" t="str">
        <f>HYPERLINK("http://ictvonline.org/taxonomy/p/taxonomy-history?taxnode_id=201854691","ICTVonline=201854691")</f>
        <v>ICTVonline=201854691</v>
      </c>
      <c r="AA1820" s="1">
        <v>201850000</v>
      </c>
      <c r="AB1820" s="1">
        <v>34</v>
      </c>
    </row>
    <row r="1821" spans="1:28" x14ac:dyDescent="0.15">
      <c r="A1821" s="1">
        <v>4665</v>
      </c>
      <c r="B1821" s="1" t="s">
        <v>7159</v>
      </c>
      <c r="L1821" s="1" t="s">
        <v>482</v>
      </c>
      <c r="N1821" s="1" t="s">
        <v>590</v>
      </c>
      <c r="P1821" s="1" t="s">
        <v>251</v>
      </c>
      <c r="Q1821" s="3">
        <v>0</v>
      </c>
      <c r="S1821" s="23" t="s">
        <v>5949</v>
      </c>
      <c r="T1821" s="23" t="s">
        <v>4931</v>
      </c>
      <c r="U1821" s="3">
        <v>34</v>
      </c>
      <c r="W1821" s="45" t="str">
        <f>HYPERLINK("http://ictvonline.org/taxonomy/p/taxonomy-history?taxnode_id=201854692","ICTVonline=201854692")</f>
        <v>ICTVonline=201854692</v>
      </c>
      <c r="AA1821" s="1">
        <v>201850000</v>
      </c>
      <c r="AB1821" s="1">
        <v>34</v>
      </c>
    </row>
    <row r="1822" spans="1:28" x14ac:dyDescent="0.15">
      <c r="A1822" s="1">
        <v>4667</v>
      </c>
      <c r="B1822" s="1" t="s">
        <v>7159</v>
      </c>
      <c r="L1822" s="1" t="s">
        <v>482</v>
      </c>
      <c r="N1822" s="1" t="s">
        <v>590</v>
      </c>
      <c r="P1822" s="1" t="s">
        <v>2139</v>
      </c>
      <c r="Q1822" s="3">
        <v>0</v>
      </c>
      <c r="S1822" s="23" t="s">
        <v>5949</v>
      </c>
      <c r="T1822" s="23" t="s">
        <v>4931</v>
      </c>
      <c r="U1822" s="3">
        <v>34</v>
      </c>
      <c r="W1822" s="45" t="str">
        <f>HYPERLINK("http://ictvonline.org/taxonomy/p/taxonomy-history?taxnode_id=201854693","ICTVonline=201854693")</f>
        <v>ICTVonline=201854693</v>
      </c>
      <c r="AA1822" s="1">
        <v>201850000</v>
      </c>
      <c r="AB1822" s="1">
        <v>34</v>
      </c>
    </row>
    <row r="1823" spans="1:28" x14ac:dyDescent="0.15">
      <c r="A1823" s="1">
        <v>4669</v>
      </c>
      <c r="B1823" s="1" t="s">
        <v>7159</v>
      </c>
      <c r="L1823" s="1" t="s">
        <v>482</v>
      </c>
      <c r="N1823" s="1" t="s">
        <v>590</v>
      </c>
      <c r="P1823" s="1" t="s">
        <v>252</v>
      </c>
      <c r="Q1823" s="3">
        <v>0</v>
      </c>
      <c r="S1823" s="23" t="s">
        <v>5949</v>
      </c>
      <c r="T1823" s="23" t="s">
        <v>4931</v>
      </c>
      <c r="U1823" s="3">
        <v>34</v>
      </c>
      <c r="W1823" s="45" t="str">
        <f>HYPERLINK("http://ictvonline.org/taxonomy/p/taxonomy-history?taxnode_id=201854694","ICTVonline=201854694")</f>
        <v>ICTVonline=201854694</v>
      </c>
      <c r="AA1823" s="1">
        <v>201850000</v>
      </c>
      <c r="AB1823" s="1">
        <v>34</v>
      </c>
    </row>
    <row r="1824" spans="1:28" x14ac:dyDescent="0.15">
      <c r="A1824" s="1">
        <v>4671</v>
      </c>
      <c r="B1824" s="1" t="s">
        <v>7159</v>
      </c>
      <c r="L1824" s="1" t="s">
        <v>482</v>
      </c>
      <c r="N1824" s="1" t="s">
        <v>590</v>
      </c>
      <c r="P1824" s="1" t="s">
        <v>253</v>
      </c>
      <c r="Q1824" s="3">
        <v>0</v>
      </c>
      <c r="S1824" s="23" t="s">
        <v>5949</v>
      </c>
      <c r="T1824" s="23" t="s">
        <v>4931</v>
      </c>
      <c r="U1824" s="3">
        <v>34</v>
      </c>
      <c r="W1824" s="45" t="str">
        <f>HYPERLINK("http://ictvonline.org/taxonomy/p/taxonomy-history?taxnode_id=201854695","ICTVonline=201854695")</f>
        <v>ICTVonline=201854695</v>
      </c>
      <c r="AA1824" s="1">
        <v>201850000</v>
      </c>
      <c r="AB1824" s="1">
        <v>34</v>
      </c>
    </row>
    <row r="1825" spans="1:28" x14ac:dyDescent="0.15">
      <c r="A1825" s="1">
        <v>4673</v>
      </c>
      <c r="B1825" s="1" t="s">
        <v>7159</v>
      </c>
      <c r="L1825" s="1" t="s">
        <v>482</v>
      </c>
      <c r="N1825" s="1" t="s">
        <v>590</v>
      </c>
      <c r="P1825" s="1" t="s">
        <v>5535</v>
      </c>
      <c r="Q1825" s="3">
        <v>0</v>
      </c>
      <c r="S1825" s="23" t="s">
        <v>5949</v>
      </c>
      <c r="T1825" s="23" t="s">
        <v>4931</v>
      </c>
      <c r="U1825" s="3">
        <v>34</v>
      </c>
      <c r="W1825" s="45" t="str">
        <f>HYPERLINK("http://ictvonline.org/taxonomy/p/taxonomy-history?taxnode_id=201855924","ICTVonline=201855924")</f>
        <v>ICTVonline=201855924</v>
      </c>
      <c r="AA1825" s="1">
        <v>201850000</v>
      </c>
      <c r="AB1825" s="1">
        <v>34</v>
      </c>
    </row>
    <row r="1826" spans="1:28" x14ac:dyDescent="0.15">
      <c r="A1826" s="1">
        <v>4675</v>
      </c>
      <c r="B1826" s="1" t="s">
        <v>7159</v>
      </c>
      <c r="L1826" s="1" t="s">
        <v>482</v>
      </c>
      <c r="N1826" s="1" t="s">
        <v>590</v>
      </c>
      <c r="P1826" s="1" t="s">
        <v>388</v>
      </c>
      <c r="Q1826" s="3">
        <v>0</v>
      </c>
      <c r="S1826" s="23" t="s">
        <v>5949</v>
      </c>
      <c r="T1826" s="23" t="s">
        <v>4931</v>
      </c>
      <c r="U1826" s="3">
        <v>34</v>
      </c>
      <c r="W1826" s="45" t="str">
        <f>HYPERLINK("http://ictvonline.org/taxonomy/p/taxonomy-history?taxnode_id=201854696","ICTVonline=201854696")</f>
        <v>ICTVonline=201854696</v>
      </c>
      <c r="AA1826" s="1">
        <v>201850000</v>
      </c>
      <c r="AB1826" s="1">
        <v>34</v>
      </c>
    </row>
    <row r="1827" spans="1:28" x14ac:dyDescent="0.15">
      <c r="A1827" s="1">
        <v>4677</v>
      </c>
      <c r="B1827" s="1" t="s">
        <v>7159</v>
      </c>
      <c r="L1827" s="1" t="s">
        <v>482</v>
      </c>
      <c r="N1827" s="1" t="s">
        <v>590</v>
      </c>
      <c r="P1827" s="1" t="s">
        <v>389</v>
      </c>
      <c r="Q1827" s="3">
        <v>0</v>
      </c>
      <c r="S1827" s="23" t="s">
        <v>5949</v>
      </c>
      <c r="T1827" s="23" t="s">
        <v>4931</v>
      </c>
      <c r="U1827" s="3">
        <v>34</v>
      </c>
      <c r="W1827" s="45" t="str">
        <f>HYPERLINK("http://ictvonline.org/taxonomy/p/taxonomy-history?taxnode_id=201854697","ICTVonline=201854697")</f>
        <v>ICTVonline=201854697</v>
      </c>
      <c r="AA1827" s="1">
        <v>201850000</v>
      </c>
      <c r="AB1827" s="1">
        <v>34</v>
      </c>
    </row>
    <row r="1828" spans="1:28" x14ac:dyDescent="0.15">
      <c r="A1828" s="1">
        <v>4679</v>
      </c>
      <c r="B1828" s="1" t="s">
        <v>7159</v>
      </c>
      <c r="L1828" s="1" t="s">
        <v>482</v>
      </c>
      <c r="N1828" s="1" t="s">
        <v>590</v>
      </c>
      <c r="P1828" s="1" t="s">
        <v>2705</v>
      </c>
      <c r="Q1828" s="3">
        <v>0</v>
      </c>
      <c r="S1828" s="23" t="s">
        <v>5949</v>
      </c>
      <c r="T1828" s="23" t="s">
        <v>4931</v>
      </c>
      <c r="U1828" s="3">
        <v>34</v>
      </c>
      <c r="W1828" s="45" t="str">
        <f>HYPERLINK("http://ictvonline.org/taxonomy/p/taxonomy-history?taxnode_id=201854698","ICTVonline=201854698")</f>
        <v>ICTVonline=201854698</v>
      </c>
      <c r="AA1828" s="1">
        <v>201850000</v>
      </c>
      <c r="AB1828" s="1">
        <v>34</v>
      </c>
    </row>
    <row r="1829" spans="1:28" x14ac:dyDescent="0.15">
      <c r="A1829" s="1">
        <v>4681</v>
      </c>
      <c r="B1829" s="1" t="s">
        <v>7159</v>
      </c>
      <c r="L1829" s="1" t="s">
        <v>482</v>
      </c>
      <c r="N1829" s="1" t="s">
        <v>590</v>
      </c>
      <c r="P1829" s="1" t="s">
        <v>390</v>
      </c>
      <c r="Q1829" s="3">
        <v>0</v>
      </c>
      <c r="S1829" s="23" t="s">
        <v>5949</v>
      </c>
      <c r="T1829" s="23" t="s">
        <v>4931</v>
      </c>
      <c r="U1829" s="3">
        <v>34</v>
      </c>
      <c r="W1829" s="45" t="str">
        <f>HYPERLINK("http://ictvonline.org/taxonomy/p/taxonomy-history?taxnode_id=201854699","ICTVonline=201854699")</f>
        <v>ICTVonline=201854699</v>
      </c>
      <c r="AA1829" s="1">
        <v>201850000</v>
      </c>
      <c r="AB1829" s="1">
        <v>34</v>
      </c>
    </row>
    <row r="1830" spans="1:28" x14ac:dyDescent="0.15">
      <c r="A1830" s="1">
        <v>4683</v>
      </c>
      <c r="B1830" s="1" t="s">
        <v>7159</v>
      </c>
      <c r="L1830" s="1" t="s">
        <v>482</v>
      </c>
      <c r="N1830" s="1" t="s">
        <v>590</v>
      </c>
      <c r="P1830" s="1" t="s">
        <v>391</v>
      </c>
      <c r="Q1830" s="3">
        <v>0</v>
      </c>
      <c r="S1830" s="23" t="s">
        <v>5949</v>
      </c>
      <c r="T1830" s="23" t="s">
        <v>4931</v>
      </c>
      <c r="U1830" s="3">
        <v>34</v>
      </c>
      <c r="W1830" s="45" t="str">
        <f>HYPERLINK("http://ictvonline.org/taxonomy/p/taxonomy-history?taxnode_id=201854700","ICTVonline=201854700")</f>
        <v>ICTVonline=201854700</v>
      </c>
      <c r="AA1830" s="1">
        <v>201850000</v>
      </c>
      <c r="AB1830" s="1">
        <v>34</v>
      </c>
    </row>
    <row r="1831" spans="1:28" x14ac:dyDescent="0.15">
      <c r="A1831" s="1">
        <v>4685</v>
      </c>
      <c r="B1831" s="1" t="s">
        <v>7159</v>
      </c>
      <c r="L1831" s="1" t="s">
        <v>482</v>
      </c>
      <c r="N1831" s="1" t="s">
        <v>590</v>
      </c>
      <c r="P1831" s="1" t="s">
        <v>392</v>
      </c>
      <c r="Q1831" s="3">
        <v>0</v>
      </c>
      <c r="S1831" s="23" t="s">
        <v>5949</v>
      </c>
      <c r="T1831" s="23" t="s">
        <v>4931</v>
      </c>
      <c r="U1831" s="3">
        <v>34</v>
      </c>
      <c r="W1831" s="45" t="str">
        <f>HYPERLINK("http://ictvonline.org/taxonomy/p/taxonomy-history?taxnode_id=201854701","ICTVonline=201854701")</f>
        <v>ICTVonline=201854701</v>
      </c>
      <c r="AA1831" s="1">
        <v>201850000</v>
      </c>
      <c r="AB1831" s="1">
        <v>34</v>
      </c>
    </row>
    <row r="1832" spans="1:28" x14ac:dyDescent="0.15">
      <c r="A1832" s="1">
        <v>4687</v>
      </c>
      <c r="B1832" s="1" t="s">
        <v>7159</v>
      </c>
      <c r="L1832" s="1" t="s">
        <v>482</v>
      </c>
      <c r="N1832" s="1" t="s">
        <v>590</v>
      </c>
      <c r="P1832" s="1" t="s">
        <v>393</v>
      </c>
      <c r="Q1832" s="3">
        <v>0</v>
      </c>
      <c r="S1832" s="23" t="s">
        <v>5949</v>
      </c>
      <c r="T1832" s="23" t="s">
        <v>4931</v>
      </c>
      <c r="U1832" s="3">
        <v>34</v>
      </c>
      <c r="W1832" s="45" t="str">
        <f>HYPERLINK("http://ictvonline.org/taxonomy/p/taxonomy-history?taxnode_id=201854702","ICTVonline=201854702")</f>
        <v>ICTVonline=201854702</v>
      </c>
      <c r="AA1832" s="1">
        <v>201850000</v>
      </c>
      <c r="AB1832" s="1">
        <v>34</v>
      </c>
    </row>
    <row r="1833" spans="1:28" x14ac:dyDescent="0.15">
      <c r="A1833" s="1">
        <v>4689</v>
      </c>
      <c r="B1833" s="1" t="s">
        <v>7159</v>
      </c>
      <c r="L1833" s="1" t="s">
        <v>482</v>
      </c>
      <c r="N1833" s="1" t="s">
        <v>590</v>
      </c>
      <c r="P1833" s="1" t="s">
        <v>394</v>
      </c>
      <c r="Q1833" s="3">
        <v>0</v>
      </c>
      <c r="S1833" s="23" t="s">
        <v>5949</v>
      </c>
      <c r="T1833" s="23" t="s">
        <v>4931</v>
      </c>
      <c r="U1833" s="3">
        <v>34</v>
      </c>
      <c r="W1833" s="45" t="str">
        <f>HYPERLINK("http://ictvonline.org/taxonomy/p/taxonomy-history?taxnode_id=201854703","ICTVonline=201854703")</f>
        <v>ICTVonline=201854703</v>
      </c>
      <c r="AA1833" s="1">
        <v>201850000</v>
      </c>
      <c r="AB1833" s="1">
        <v>34</v>
      </c>
    </row>
    <row r="1834" spans="1:28" x14ac:dyDescent="0.15">
      <c r="A1834" s="1">
        <v>4691</v>
      </c>
      <c r="B1834" s="1" t="s">
        <v>7159</v>
      </c>
      <c r="L1834" s="1" t="s">
        <v>482</v>
      </c>
      <c r="N1834" s="1" t="s">
        <v>590</v>
      </c>
      <c r="P1834" s="1" t="s">
        <v>395</v>
      </c>
      <c r="Q1834" s="3">
        <v>0</v>
      </c>
      <c r="S1834" s="23" t="s">
        <v>5949</v>
      </c>
      <c r="T1834" s="23" t="s">
        <v>4931</v>
      </c>
      <c r="U1834" s="3">
        <v>34</v>
      </c>
      <c r="W1834" s="45" t="str">
        <f>HYPERLINK("http://ictvonline.org/taxonomy/p/taxonomy-history?taxnode_id=201854704","ICTVonline=201854704")</f>
        <v>ICTVonline=201854704</v>
      </c>
      <c r="AA1834" s="1">
        <v>201850000</v>
      </c>
      <c r="AB1834" s="1">
        <v>34</v>
      </c>
    </row>
    <row r="1835" spans="1:28" x14ac:dyDescent="0.15">
      <c r="A1835" s="1">
        <v>4693</v>
      </c>
      <c r="B1835" s="1" t="s">
        <v>7159</v>
      </c>
      <c r="L1835" s="1" t="s">
        <v>482</v>
      </c>
      <c r="N1835" s="1" t="s">
        <v>590</v>
      </c>
      <c r="P1835" s="1" t="s">
        <v>2140</v>
      </c>
      <c r="Q1835" s="3">
        <v>0</v>
      </c>
      <c r="S1835" s="23" t="s">
        <v>5949</v>
      </c>
      <c r="T1835" s="23" t="s">
        <v>4931</v>
      </c>
      <c r="U1835" s="3">
        <v>34</v>
      </c>
      <c r="W1835" s="45" t="str">
        <f>HYPERLINK("http://ictvonline.org/taxonomy/p/taxonomy-history?taxnode_id=201854705","ICTVonline=201854705")</f>
        <v>ICTVonline=201854705</v>
      </c>
      <c r="AA1835" s="1">
        <v>201850000</v>
      </c>
      <c r="AB1835" s="1">
        <v>34</v>
      </c>
    </row>
    <row r="1836" spans="1:28" x14ac:dyDescent="0.15">
      <c r="A1836" s="1">
        <v>4695</v>
      </c>
      <c r="B1836" s="1" t="s">
        <v>7159</v>
      </c>
      <c r="L1836" s="1" t="s">
        <v>482</v>
      </c>
      <c r="N1836" s="1" t="s">
        <v>590</v>
      </c>
      <c r="P1836" s="1" t="s">
        <v>2141</v>
      </c>
      <c r="Q1836" s="3">
        <v>0</v>
      </c>
      <c r="S1836" s="23" t="s">
        <v>5949</v>
      </c>
      <c r="T1836" s="23" t="s">
        <v>4931</v>
      </c>
      <c r="U1836" s="3">
        <v>34</v>
      </c>
      <c r="W1836" s="45" t="str">
        <f>HYPERLINK("http://ictvonline.org/taxonomy/p/taxonomy-history?taxnode_id=201854706","ICTVonline=201854706")</f>
        <v>ICTVonline=201854706</v>
      </c>
      <c r="AA1836" s="1">
        <v>201850000</v>
      </c>
      <c r="AB1836" s="1">
        <v>34</v>
      </c>
    </row>
    <row r="1837" spans="1:28" x14ac:dyDescent="0.15">
      <c r="A1837" s="1">
        <v>4697</v>
      </c>
      <c r="B1837" s="1" t="s">
        <v>7159</v>
      </c>
      <c r="L1837" s="1" t="s">
        <v>482</v>
      </c>
      <c r="N1837" s="1" t="s">
        <v>590</v>
      </c>
      <c r="P1837" s="1" t="s">
        <v>4005</v>
      </c>
      <c r="Q1837" s="3">
        <v>0</v>
      </c>
      <c r="S1837" s="23" t="s">
        <v>5949</v>
      </c>
      <c r="T1837" s="23" t="s">
        <v>4931</v>
      </c>
      <c r="U1837" s="3">
        <v>34</v>
      </c>
      <c r="W1837" s="45" t="str">
        <f>HYPERLINK("http://ictvonline.org/taxonomy/p/taxonomy-history?taxnode_id=201854707","ICTVonline=201854707")</f>
        <v>ICTVonline=201854707</v>
      </c>
      <c r="AA1837" s="1">
        <v>201850000</v>
      </c>
      <c r="AB1837" s="1">
        <v>34</v>
      </c>
    </row>
    <row r="1838" spans="1:28" x14ac:dyDescent="0.15">
      <c r="A1838" s="1">
        <v>4699</v>
      </c>
      <c r="B1838" s="1" t="s">
        <v>7159</v>
      </c>
      <c r="L1838" s="1" t="s">
        <v>482</v>
      </c>
      <c r="N1838" s="1" t="s">
        <v>590</v>
      </c>
      <c r="P1838" s="1" t="s">
        <v>2706</v>
      </c>
      <c r="Q1838" s="3">
        <v>0</v>
      </c>
      <c r="S1838" s="23" t="s">
        <v>5949</v>
      </c>
      <c r="T1838" s="23" t="s">
        <v>4931</v>
      </c>
      <c r="U1838" s="3">
        <v>34</v>
      </c>
      <c r="W1838" s="45" t="str">
        <f>HYPERLINK("http://ictvonline.org/taxonomy/p/taxonomy-history?taxnode_id=201854708","ICTVonline=201854708")</f>
        <v>ICTVonline=201854708</v>
      </c>
      <c r="AA1838" s="1">
        <v>201850000</v>
      </c>
      <c r="AB1838" s="1">
        <v>34</v>
      </c>
    </row>
    <row r="1839" spans="1:28" x14ac:dyDescent="0.15">
      <c r="A1839" s="1">
        <v>4701</v>
      </c>
      <c r="B1839" s="1" t="s">
        <v>7159</v>
      </c>
      <c r="L1839" s="1" t="s">
        <v>482</v>
      </c>
      <c r="N1839" s="1" t="s">
        <v>590</v>
      </c>
      <c r="P1839" s="1" t="s">
        <v>396</v>
      </c>
      <c r="Q1839" s="3">
        <v>0</v>
      </c>
      <c r="S1839" s="23" t="s">
        <v>5949</v>
      </c>
      <c r="T1839" s="23" t="s">
        <v>4931</v>
      </c>
      <c r="U1839" s="3">
        <v>34</v>
      </c>
      <c r="W1839" s="45" t="str">
        <f>HYPERLINK("http://ictvonline.org/taxonomy/p/taxonomy-history?taxnode_id=201854709","ICTVonline=201854709")</f>
        <v>ICTVonline=201854709</v>
      </c>
      <c r="AA1839" s="1">
        <v>201850000</v>
      </c>
      <c r="AB1839" s="1">
        <v>34</v>
      </c>
    </row>
    <row r="1840" spans="1:28" x14ac:dyDescent="0.15">
      <c r="A1840" s="1">
        <v>4703</v>
      </c>
      <c r="B1840" s="1" t="s">
        <v>7159</v>
      </c>
      <c r="L1840" s="1" t="s">
        <v>482</v>
      </c>
      <c r="N1840" s="1" t="s">
        <v>590</v>
      </c>
      <c r="P1840" s="1" t="s">
        <v>397</v>
      </c>
      <c r="Q1840" s="3">
        <v>0</v>
      </c>
      <c r="S1840" s="23" t="s">
        <v>5949</v>
      </c>
      <c r="T1840" s="23" t="s">
        <v>4931</v>
      </c>
      <c r="U1840" s="3">
        <v>34</v>
      </c>
      <c r="W1840" s="45" t="str">
        <f>HYPERLINK("http://ictvonline.org/taxonomy/p/taxonomy-history?taxnode_id=201854710","ICTVonline=201854710")</f>
        <v>ICTVonline=201854710</v>
      </c>
      <c r="AA1840" s="1">
        <v>201850000</v>
      </c>
      <c r="AB1840" s="1">
        <v>34</v>
      </c>
    </row>
    <row r="1841" spans="1:28" x14ac:dyDescent="0.15">
      <c r="A1841" s="1">
        <v>4705</v>
      </c>
      <c r="B1841" s="1" t="s">
        <v>7159</v>
      </c>
      <c r="L1841" s="1" t="s">
        <v>482</v>
      </c>
      <c r="N1841" s="1" t="s">
        <v>590</v>
      </c>
      <c r="P1841" s="1" t="s">
        <v>7142</v>
      </c>
      <c r="Q1841" s="3">
        <v>0</v>
      </c>
      <c r="S1841" s="23" t="s">
        <v>5949</v>
      </c>
      <c r="T1841" s="23" t="s">
        <v>4929</v>
      </c>
      <c r="U1841" s="3">
        <v>34</v>
      </c>
      <c r="V1841" s="3" t="s">
        <v>7136</v>
      </c>
      <c r="W1841" s="45" t="str">
        <f>HYPERLINK("http://ictvonline.org/taxonomy/p/taxonomy-history?taxnode_id=201856677","ICTVonline=201856677")</f>
        <v>ICTVonline=201856677</v>
      </c>
      <c r="AA1841" s="1">
        <v>201850000</v>
      </c>
      <c r="AB1841" s="1">
        <v>34</v>
      </c>
    </row>
    <row r="1842" spans="1:28" x14ac:dyDescent="0.15">
      <c r="A1842" s="1">
        <v>4707</v>
      </c>
      <c r="B1842" s="1" t="s">
        <v>7159</v>
      </c>
      <c r="L1842" s="1" t="s">
        <v>482</v>
      </c>
      <c r="N1842" s="1" t="s">
        <v>590</v>
      </c>
      <c r="P1842" s="1" t="s">
        <v>5536</v>
      </c>
      <c r="Q1842" s="3">
        <v>0</v>
      </c>
      <c r="S1842" s="23" t="s">
        <v>5949</v>
      </c>
      <c r="T1842" s="23" t="s">
        <v>4931</v>
      </c>
      <c r="U1842" s="3">
        <v>34</v>
      </c>
      <c r="W1842" s="45" t="str">
        <f>HYPERLINK("http://ictvonline.org/taxonomy/p/taxonomy-history?taxnode_id=201855925","ICTVonline=201855925")</f>
        <v>ICTVonline=201855925</v>
      </c>
      <c r="AA1842" s="1">
        <v>201850000</v>
      </c>
      <c r="AB1842" s="1">
        <v>34</v>
      </c>
    </row>
    <row r="1843" spans="1:28" x14ac:dyDescent="0.15">
      <c r="A1843" s="1">
        <v>4709</v>
      </c>
      <c r="B1843" s="1" t="s">
        <v>7159</v>
      </c>
      <c r="L1843" s="1" t="s">
        <v>482</v>
      </c>
      <c r="N1843" s="1" t="s">
        <v>590</v>
      </c>
      <c r="P1843" s="1" t="s">
        <v>1490</v>
      </c>
      <c r="Q1843" s="3">
        <v>0</v>
      </c>
      <c r="S1843" s="23" t="s">
        <v>5949</v>
      </c>
      <c r="T1843" s="23" t="s">
        <v>4931</v>
      </c>
      <c r="U1843" s="3">
        <v>34</v>
      </c>
      <c r="W1843" s="45" t="str">
        <f>HYPERLINK("http://ictvonline.org/taxonomy/p/taxonomy-history?taxnode_id=201854711","ICTVonline=201854711")</f>
        <v>ICTVonline=201854711</v>
      </c>
      <c r="AA1843" s="1">
        <v>201850000</v>
      </c>
      <c r="AB1843" s="1">
        <v>34</v>
      </c>
    </row>
    <row r="1844" spans="1:28" x14ac:dyDescent="0.15">
      <c r="A1844" s="1">
        <v>4711</v>
      </c>
      <c r="B1844" s="1" t="s">
        <v>7159</v>
      </c>
      <c r="L1844" s="1" t="s">
        <v>482</v>
      </c>
      <c r="N1844" s="1" t="s">
        <v>590</v>
      </c>
      <c r="P1844" s="1" t="s">
        <v>2142</v>
      </c>
      <c r="Q1844" s="3">
        <v>0</v>
      </c>
      <c r="S1844" s="23" t="s">
        <v>5949</v>
      </c>
      <c r="T1844" s="23" t="s">
        <v>4931</v>
      </c>
      <c r="U1844" s="3">
        <v>34</v>
      </c>
      <c r="W1844" s="45" t="str">
        <f>HYPERLINK("http://ictvonline.org/taxonomy/p/taxonomy-history?taxnode_id=201854712","ICTVonline=201854712")</f>
        <v>ICTVonline=201854712</v>
      </c>
      <c r="AA1844" s="1">
        <v>201850000</v>
      </c>
      <c r="AB1844" s="1">
        <v>34</v>
      </c>
    </row>
    <row r="1845" spans="1:28" x14ac:dyDescent="0.15">
      <c r="A1845" s="1">
        <v>4713</v>
      </c>
      <c r="B1845" s="1" t="s">
        <v>7159</v>
      </c>
      <c r="L1845" s="1" t="s">
        <v>482</v>
      </c>
      <c r="N1845" s="1" t="s">
        <v>590</v>
      </c>
      <c r="P1845" s="1" t="s">
        <v>1491</v>
      </c>
      <c r="Q1845" s="3">
        <v>0</v>
      </c>
      <c r="S1845" s="23" t="s">
        <v>5949</v>
      </c>
      <c r="T1845" s="23" t="s">
        <v>4931</v>
      </c>
      <c r="U1845" s="3">
        <v>34</v>
      </c>
      <c r="W1845" s="45" t="str">
        <f>HYPERLINK("http://ictvonline.org/taxonomy/p/taxonomy-history?taxnode_id=201854713","ICTVonline=201854713")</f>
        <v>ICTVonline=201854713</v>
      </c>
      <c r="AA1845" s="1">
        <v>201850000</v>
      </c>
      <c r="AB1845" s="1">
        <v>34</v>
      </c>
    </row>
    <row r="1846" spans="1:28" x14ac:dyDescent="0.15">
      <c r="A1846" s="1">
        <v>4715</v>
      </c>
      <c r="B1846" s="1" t="s">
        <v>7159</v>
      </c>
      <c r="L1846" s="1" t="s">
        <v>482</v>
      </c>
      <c r="N1846" s="1" t="s">
        <v>590</v>
      </c>
      <c r="P1846" s="1" t="s">
        <v>1492</v>
      </c>
      <c r="Q1846" s="3">
        <v>0</v>
      </c>
      <c r="S1846" s="23" t="s">
        <v>5949</v>
      </c>
      <c r="T1846" s="23" t="s">
        <v>4931</v>
      </c>
      <c r="U1846" s="3">
        <v>34</v>
      </c>
      <c r="W1846" s="45" t="str">
        <f>HYPERLINK("http://ictvonline.org/taxonomy/p/taxonomy-history?taxnode_id=201854714","ICTVonline=201854714")</f>
        <v>ICTVonline=201854714</v>
      </c>
      <c r="AA1846" s="1">
        <v>201850000</v>
      </c>
      <c r="AB1846" s="1">
        <v>34</v>
      </c>
    </row>
    <row r="1847" spans="1:28" x14ac:dyDescent="0.15">
      <c r="A1847" s="1">
        <v>4717</v>
      </c>
      <c r="B1847" s="1" t="s">
        <v>7159</v>
      </c>
      <c r="L1847" s="1" t="s">
        <v>482</v>
      </c>
      <c r="N1847" s="1" t="s">
        <v>590</v>
      </c>
      <c r="P1847" s="1" t="s">
        <v>1493</v>
      </c>
      <c r="Q1847" s="3">
        <v>0</v>
      </c>
      <c r="S1847" s="23" t="s">
        <v>5949</v>
      </c>
      <c r="T1847" s="23" t="s">
        <v>4931</v>
      </c>
      <c r="U1847" s="3">
        <v>34</v>
      </c>
      <c r="W1847" s="45" t="str">
        <f>HYPERLINK("http://ictvonline.org/taxonomy/p/taxonomy-history?taxnode_id=201854715","ICTVonline=201854715")</f>
        <v>ICTVonline=201854715</v>
      </c>
      <c r="AA1847" s="1">
        <v>201850000</v>
      </c>
      <c r="AB1847" s="1">
        <v>34</v>
      </c>
    </row>
    <row r="1848" spans="1:28" x14ac:dyDescent="0.15">
      <c r="A1848" s="1">
        <v>4719</v>
      </c>
      <c r="B1848" s="1" t="s">
        <v>7159</v>
      </c>
      <c r="L1848" s="1" t="s">
        <v>482</v>
      </c>
      <c r="N1848" s="1" t="s">
        <v>590</v>
      </c>
      <c r="P1848" s="1" t="s">
        <v>199</v>
      </c>
      <c r="Q1848" s="3">
        <v>0</v>
      </c>
      <c r="S1848" s="23" t="s">
        <v>5949</v>
      </c>
      <c r="T1848" s="23" t="s">
        <v>4931</v>
      </c>
      <c r="U1848" s="3">
        <v>34</v>
      </c>
      <c r="W1848" s="45" t="str">
        <f>HYPERLINK("http://ictvonline.org/taxonomy/p/taxonomy-history?taxnode_id=201854716","ICTVonline=201854716")</f>
        <v>ICTVonline=201854716</v>
      </c>
      <c r="AA1848" s="1">
        <v>201850000</v>
      </c>
      <c r="AB1848" s="1">
        <v>34</v>
      </c>
    </row>
    <row r="1849" spans="1:28" x14ac:dyDescent="0.15">
      <c r="A1849" s="1">
        <v>4721</v>
      </c>
      <c r="B1849" s="1" t="s">
        <v>7159</v>
      </c>
      <c r="L1849" s="1" t="s">
        <v>482</v>
      </c>
      <c r="N1849" s="1" t="s">
        <v>590</v>
      </c>
      <c r="P1849" s="1" t="s">
        <v>1494</v>
      </c>
      <c r="Q1849" s="3">
        <v>0</v>
      </c>
      <c r="S1849" s="23" t="s">
        <v>5949</v>
      </c>
      <c r="T1849" s="23" t="s">
        <v>4931</v>
      </c>
      <c r="U1849" s="3">
        <v>34</v>
      </c>
      <c r="W1849" s="45" t="str">
        <f>HYPERLINK("http://ictvonline.org/taxonomy/p/taxonomy-history?taxnode_id=201854717","ICTVonline=201854717")</f>
        <v>ICTVonline=201854717</v>
      </c>
      <c r="AA1849" s="1">
        <v>201850000</v>
      </c>
      <c r="AB1849" s="1">
        <v>34</v>
      </c>
    </row>
    <row r="1850" spans="1:28" x14ac:dyDescent="0.15">
      <c r="A1850" s="1">
        <v>4723</v>
      </c>
      <c r="B1850" s="1" t="s">
        <v>7159</v>
      </c>
      <c r="L1850" s="1" t="s">
        <v>482</v>
      </c>
      <c r="N1850" s="1" t="s">
        <v>590</v>
      </c>
      <c r="P1850" s="1" t="s">
        <v>1495</v>
      </c>
      <c r="Q1850" s="3">
        <v>0</v>
      </c>
      <c r="S1850" s="23" t="s">
        <v>5949</v>
      </c>
      <c r="T1850" s="23" t="s">
        <v>4931</v>
      </c>
      <c r="U1850" s="3">
        <v>34</v>
      </c>
      <c r="W1850" s="45" t="str">
        <f>HYPERLINK("http://ictvonline.org/taxonomy/p/taxonomy-history?taxnode_id=201854718","ICTVonline=201854718")</f>
        <v>ICTVonline=201854718</v>
      </c>
      <c r="AA1850" s="1">
        <v>201850000</v>
      </c>
      <c r="AB1850" s="1">
        <v>34</v>
      </c>
    </row>
    <row r="1851" spans="1:28" x14ac:dyDescent="0.15">
      <c r="A1851" s="1">
        <v>4725</v>
      </c>
      <c r="B1851" s="1" t="s">
        <v>7159</v>
      </c>
      <c r="L1851" s="1" t="s">
        <v>482</v>
      </c>
      <c r="N1851" s="1" t="s">
        <v>590</v>
      </c>
      <c r="P1851" s="1" t="s">
        <v>4830</v>
      </c>
      <c r="Q1851" s="3">
        <v>0</v>
      </c>
      <c r="S1851" s="23" t="s">
        <v>5949</v>
      </c>
      <c r="T1851" s="23" t="s">
        <v>4931</v>
      </c>
      <c r="U1851" s="3">
        <v>34</v>
      </c>
      <c r="W1851" s="45" t="str">
        <f>HYPERLINK("http://ictvonline.org/taxonomy/p/taxonomy-history?taxnode_id=201854719","ICTVonline=201854719")</f>
        <v>ICTVonline=201854719</v>
      </c>
      <c r="AA1851" s="1">
        <v>201850000</v>
      </c>
      <c r="AB1851" s="1">
        <v>34</v>
      </c>
    </row>
    <row r="1852" spans="1:28" x14ac:dyDescent="0.15">
      <c r="A1852" s="1">
        <v>4727</v>
      </c>
      <c r="B1852" s="1" t="s">
        <v>7159</v>
      </c>
      <c r="L1852" s="1" t="s">
        <v>482</v>
      </c>
      <c r="N1852" s="1" t="s">
        <v>590</v>
      </c>
      <c r="P1852" s="1" t="s">
        <v>2707</v>
      </c>
      <c r="Q1852" s="3">
        <v>0</v>
      </c>
      <c r="S1852" s="23" t="s">
        <v>5949</v>
      </c>
      <c r="T1852" s="23" t="s">
        <v>4931</v>
      </c>
      <c r="U1852" s="3">
        <v>34</v>
      </c>
      <c r="W1852" s="45" t="str">
        <f>HYPERLINK("http://ictvonline.org/taxonomy/p/taxonomy-history?taxnode_id=201854720","ICTVonline=201854720")</f>
        <v>ICTVonline=201854720</v>
      </c>
      <c r="AA1852" s="1">
        <v>201850000</v>
      </c>
      <c r="AB1852" s="1">
        <v>34</v>
      </c>
    </row>
    <row r="1853" spans="1:28" x14ac:dyDescent="0.15">
      <c r="A1853" s="1">
        <v>4729</v>
      </c>
      <c r="B1853" s="1" t="s">
        <v>7159</v>
      </c>
      <c r="L1853" s="1" t="s">
        <v>482</v>
      </c>
      <c r="N1853" s="1" t="s">
        <v>590</v>
      </c>
      <c r="P1853" s="1" t="s">
        <v>1595</v>
      </c>
      <c r="Q1853" s="3">
        <v>0</v>
      </c>
      <c r="S1853" s="23" t="s">
        <v>5949</v>
      </c>
      <c r="T1853" s="23" t="s">
        <v>4931</v>
      </c>
      <c r="U1853" s="3">
        <v>34</v>
      </c>
      <c r="W1853" s="45" t="str">
        <f>HYPERLINK("http://ictvonline.org/taxonomy/p/taxonomy-history?taxnode_id=201854721","ICTVonline=201854721")</f>
        <v>ICTVonline=201854721</v>
      </c>
      <c r="AA1853" s="1">
        <v>201850000</v>
      </c>
      <c r="AB1853" s="1">
        <v>34</v>
      </c>
    </row>
    <row r="1854" spans="1:28" x14ac:dyDescent="0.15">
      <c r="A1854" s="1">
        <v>4731</v>
      </c>
      <c r="B1854" s="1" t="s">
        <v>7159</v>
      </c>
      <c r="L1854" s="1" t="s">
        <v>482</v>
      </c>
      <c r="N1854" s="1" t="s">
        <v>590</v>
      </c>
      <c r="P1854" s="1" t="s">
        <v>1596</v>
      </c>
      <c r="Q1854" s="3">
        <v>0</v>
      </c>
      <c r="S1854" s="23" t="s">
        <v>5949</v>
      </c>
      <c r="T1854" s="23" t="s">
        <v>4931</v>
      </c>
      <c r="U1854" s="3">
        <v>34</v>
      </c>
      <c r="W1854" s="45" t="str">
        <f>HYPERLINK("http://ictvonline.org/taxonomy/p/taxonomy-history?taxnode_id=201854722","ICTVonline=201854722")</f>
        <v>ICTVonline=201854722</v>
      </c>
      <c r="AA1854" s="1">
        <v>201850000</v>
      </c>
      <c r="AB1854" s="1">
        <v>34</v>
      </c>
    </row>
    <row r="1855" spans="1:28" x14ac:dyDescent="0.15">
      <c r="A1855" s="1">
        <v>4735</v>
      </c>
      <c r="B1855" s="1" t="s">
        <v>7159</v>
      </c>
      <c r="L1855" s="1" t="s">
        <v>482</v>
      </c>
      <c r="N1855" s="1" t="s">
        <v>5537</v>
      </c>
      <c r="P1855" s="1" t="s">
        <v>2602</v>
      </c>
      <c r="Q1855" s="3">
        <v>1</v>
      </c>
      <c r="S1855" s="23" t="s">
        <v>5949</v>
      </c>
      <c r="T1855" s="23" t="s">
        <v>4931</v>
      </c>
      <c r="U1855" s="3">
        <v>34</v>
      </c>
      <c r="W1855" s="45" t="str">
        <f>HYPERLINK("http://ictvonline.org/taxonomy/p/taxonomy-history?taxnode_id=201854735","ICTVonline=201854735")</f>
        <v>ICTVonline=201854735</v>
      </c>
      <c r="AA1855" s="1">
        <v>201850000</v>
      </c>
      <c r="AB1855" s="1">
        <v>34</v>
      </c>
    </row>
    <row r="1856" spans="1:28" x14ac:dyDescent="0.15">
      <c r="A1856" s="1">
        <v>4739</v>
      </c>
      <c r="B1856" s="1" t="s">
        <v>7159</v>
      </c>
      <c r="L1856" s="1" t="s">
        <v>482</v>
      </c>
      <c r="N1856" s="1" t="s">
        <v>1550</v>
      </c>
      <c r="P1856" s="1" t="s">
        <v>1551</v>
      </c>
      <c r="Q1856" s="3">
        <v>0</v>
      </c>
      <c r="S1856" s="23" t="s">
        <v>5949</v>
      </c>
      <c r="T1856" s="23" t="s">
        <v>4931</v>
      </c>
      <c r="U1856" s="3">
        <v>34</v>
      </c>
      <c r="W1856" s="45" t="str">
        <f>HYPERLINK("http://ictvonline.org/taxonomy/p/taxonomy-history?taxnode_id=201854724","ICTVonline=201854724")</f>
        <v>ICTVonline=201854724</v>
      </c>
      <c r="AA1856" s="1">
        <v>201850000</v>
      </c>
      <c r="AB1856" s="1">
        <v>34</v>
      </c>
    </row>
    <row r="1857" spans="1:28" x14ac:dyDescent="0.15">
      <c r="A1857" s="1">
        <v>4741</v>
      </c>
      <c r="B1857" s="1" t="s">
        <v>7159</v>
      </c>
      <c r="L1857" s="1" t="s">
        <v>482</v>
      </c>
      <c r="N1857" s="1" t="s">
        <v>1550</v>
      </c>
      <c r="P1857" s="1" t="s">
        <v>1552</v>
      </c>
      <c r="Q1857" s="3">
        <v>0</v>
      </c>
      <c r="S1857" s="23" t="s">
        <v>5949</v>
      </c>
      <c r="T1857" s="23" t="s">
        <v>4931</v>
      </c>
      <c r="U1857" s="3">
        <v>34</v>
      </c>
      <c r="W1857" s="45" t="str">
        <f>HYPERLINK("http://ictvonline.org/taxonomy/p/taxonomy-history?taxnode_id=201854725","ICTVonline=201854725")</f>
        <v>ICTVonline=201854725</v>
      </c>
      <c r="AA1857" s="1">
        <v>201850000</v>
      </c>
      <c r="AB1857" s="1">
        <v>34</v>
      </c>
    </row>
    <row r="1858" spans="1:28" x14ac:dyDescent="0.15">
      <c r="A1858" s="1">
        <v>4743</v>
      </c>
      <c r="B1858" s="1" t="s">
        <v>7159</v>
      </c>
      <c r="L1858" s="1" t="s">
        <v>482</v>
      </c>
      <c r="N1858" s="1" t="s">
        <v>1550</v>
      </c>
      <c r="P1858" s="1" t="s">
        <v>1553</v>
      </c>
      <c r="Q1858" s="3">
        <v>1</v>
      </c>
      <c r="S1858" s="23" t="s">
        <v>5949</v>
      </c>
      <c r="T1858" s="23" t="s">
        <v>4931</v>
      </c>
      <c r="U1858" s="3">
        <v>34</v>
      </c>
      <c r="W1858" s="45" t="str">
        <f>HYPERLINK("http://ictvonline.org/taxonomy/p/taxonomy-history?taxnode_id=201854726","ICTVonline=201854726")</f>
        <v>ICTVonline=201854726</v>
      </c>
      <c r="AA1858" s="1">
        <v>201850000</v>
      </c>
      <c r="AB1858" s="1">
        <v>34</v>
      </c>
    </row>
    <row r="1859" spans="1:28" x14ac:dyDescent="0.15">
      <c r="A1859" s="1">
        <v>4747</v>
      </c>
      <c r="B1859" s="1" t="s">
        <v>7159</v>
      </c>
      <c r="L1859" s="1" t="s">
        <v>482</v>
      </c>
      <c r="N1859" s="1" t="s">
        <v>1554</v>
      </c>
      <c r="P1859" s="1" t="s">
        <v>1555</v>
      </c>
      <c r="Q1859" s="3">
        <v>0</v>
      </c>
      <c r="S1859" s="23" t="s">
        <v>5949</v>
      </c>
      <c r="T1859" s="23" t="s">
        <v>4931</v>
      </c>
      <c r="U1859" s="3">
        <v>34</v>
      </c>
      <c r="W1859" s="45" t="str">
        <f>HYPERLINK("http://ictvonline.org/taxonomy/p/taxonomy-history?taxnode_id=201854728","ICTVonline=201854728")</f>
        <v>ICTVonline=201854728</v>
      </c>
      <c r="AA1859" s="1">
        <v>201850000</v>
      </c>
      <c r="AB1859" s="1">
        <v>34</v>
      </c>
    </row>
    <row r="1860" spans="1:28" x14ac:dyDescent="0.15">
      <c r="A1860" s="1">
        <v>4749</v>
      </c>
      <c r="B1860" s="1" t="s">
        <v>7159</v>
      </c>
      <c r="L1860" s="1" t="s">
        <v>482</v>
      </c>
      <c r="N1860" s="1" t="s">
        <v>1554</v>
      </c>
      <c r="P1860" s="1" t="s">
        <v>1556</v>
      </c>
      <c r="Q1860" s="3">
        <v>0</v>
      </c>
      <c r="S1860" s="23" t="s">
        <v>5949</v>
      </c>
      <c r="T1860" s="23" t="s">
        <v>4931</v>
      </c>
      <c r="U1860" s="3">
        <v>34</v>
      </c>
      <c r="W1860" s="45" t="str">
        <f>HYPERLINK("http://ictvonline.org/taxonomy/p/taxonomy-history?taxnode_id=201854729","ICTVonline=201854729")</f>
        <v>ICTVonline=201854729</v>
      </c>
      <c r="AA1860" s="1">
        <v>201850000</v>
      </c>
      <c r="AB1860" s="1">
        <v>34</v>
      </c>
    </row>
    <row r="1861" spans="1:28" x14ac:dyDescent="0.15">
      <c r="A1861" s="1">
        <v>4751</v>
      </c>
      <c r="B1861" s="1" t="s">
        <v>7159</v>
      </c>
      <c r="L1861" s="1" t="s">
        <v>482</v>
      </c>
      <c r="N1861" s="1" t="s">
        <v>1554</v>
      </c>
      <c r="P1861" s="1" t="s">
        <v>2708</v>
      </c>
      <c r="Q1861" s="3">
        <v>0</v>
      </c>
      <c r="S1861" s="23" t="s">
        <v>5949</v>
      </c>
      <c r="T1861" s="23" t="s">
        <v>4931</v>
      </c>
      <c r="U1861" s="3">
        <v>34</v>
      </c>
      <c r="W1861" s="45" t="str">
        <f>HYPERLINK("http://ictvonline.org/taxonomy/p/taxonomy-history?taxnode_id=201854730","ICTVonline=201854730")</f>
        <v>ICTVonline=201854730</v>
      </c>
      <c r="AA1861" s="1">
        <v>201850000</v>
      </c>
      <c r="AB1861" s="1">
        <v>34</v>
      </c>
    </row>
    <row r="1862" spans="1:28" x14ac:dyDescent="0.15">
      <c r="A1862" s="1">
        <v>4753</v>
      </c>
      <c r="B1862" s="1" t="s">
        <v>7159</v>
      </c>
      <c r="L1862" s="1" t="s">
        <v>482</v>
      </c>
      <c r="N1862" s="1" t="s">
        <v>1554</v>
      </c>
      <c r="P1862" s="1" t="s">
        <v>2143</v>
      </c>
      <c r="Q1862" s="3">
        <v>0</v>
      </c>
      <c r="S1862" s="23" t="s">
        <v>5949</v>
      </c>
      <c r="T1862" s="23" t="s">
        <v>4931</v>
      </c>
      <c r="U1862" s="3">
        <v>34</v>
      </c>
      <c r="W1862" s="45" t="str">
        <f>HYPERLINK("http://ictvonline.org/taxonomy/p/taxonomy-history?taxnode_id=201854731","ICTVonline=201854731")</f>
        <v>ICTVonline=201854731</v>
      </c>
      <c r="AA1862" s="1">
        <v>201850000</v>
      </c>
      <c r="AB1862" s="1">
        <v>34</v>
      </c>
    </row>
    <row r="1863" spans="1:28" x14ac:dyDescent="0.15">
      <c r="A1863" s="1">
        <v>4755</v>
      </c>
      <c r="B1863" s="1" t="s">
        <v>7159</v>
      </c>
      <c r="L1863" s="1" t="s">
        <v>482</v>
      </c>
      <c r="N1863" s="1" t="s">
        <v>1554</v>
      </c>
      <c r="P1863" s="1" t="s">
        <v>1557</v>
      </c>
      <c r="Q1863" s="3">
        <v>1</v>
      </c>
      <c r="S1863" s="23" t="s">
        <v>5949</v>
      </c>
      <c r="T1863" s="23" t="s">
        <v>4931</v>
      </c>
      <c r="U1863" s="3">
        <v>34</v>
      </c>
      <c r="W1863" s="45" t="str">
        <f>HYPERLINK("http://ictvonline.org/taxonomy/p/taxonomy-history?taxnode_id=201854732","ICTVonline=201854732")</f>
        <v>ICTVonline=201854732</v>
      </c>
      <c r="AA1863" s="1">
        <v>201850000</v>
      </c>
      <c r="AB1863" s="1">
        <v>34</v>
      </c>
    </row>
    <row r="1864" spans="1:28" x14ac:dyDescent="0.15">
      <c r="A1864" s="1">
        <v>4757</v>
      </c>
      <c r="B1864" s="1" t="s">
        <v>7159</v>
      </c>
      <c r="L1864" s="1" t="s">
        <v>482</v>
      </c>
      <c r="N1864" s="1" t="s">
        <v>1554</v>
      </c>
      <c r="P1864" s="1" t="s">
        <v>5538</v>
      </c>
      <c r="Q1864" s="3">
        <v>0</v>
      </c>
      <c r="S1864" s="23" t="s">
        <v>5949</v>
      </c>
      <c r="T1864" s="23" t="s">
        <v>4931</v>
      </c>
      <c r="U1864" s="3">
        <v>34</v>
      </c>
      <c r="W1864" s="45" t="str">
        <f>HYPERLINK("http://ictvonline.org/taxonomy/p/taxonomy-history?taxnode_id=201854733","ICTVonline=201854733")</f>
        <v>ICTVonline=201854733</v>
      </c>
      <c r="AA1864" s="1">
        <v>201850000</v>
      </c>
      <c r="AB1864" s="1">
        <v>34</v>
      </c>
    </row>
    <row r="1865" spans="1:28" x14ac:dyDescent="0.15">
      <c r="A1865" s="1">
        <v>4760</v>
      </c>
      <c r="B1865" s="1" t="s">
        <v>7159</v>
      </c>
      <c r="L1865" s="1" t="s">
        <v>482</v>
      </c>
      <c r="P1865" s="1" t="s">
        <v>7143</v>
      </c>
      <c r="Q1865" s="3">
        <v>0</v>
      </c>
      <c r="S1865" s="23" t="s">
        <v>5949</v>
      </c>
      <c r="T1865" s="23" t="s">
        <v>4929</v>
      </c>
      <c r="U1865" s="3">
        <v>34</v>
      </c>
      <c r="V1865" s="3" t="s">
        <v>7144</v>
      </c>
      <c r="W1865" s="45" t="str">
        <f>HYPERLINK("http://ictvonline.org/taxonomy/p/taxonomy-history?taxnode_id=201856681","ICTVonline=201856681")</f>
        <v>ICTVonline=201856681</v>
      </c>
      <c r="AA1865" s="1">
        <v>201850000</v>
      </c>
      <c r="AB1865" s="1">
        <v>34</v>
      </c>
    </row>
    <row r="1866" spans="1:28" x14ac:dyDescent="0.15">
      <c r="A1866" s="1">
        <v>4762</v>
      </c>
      <c r="B1866" s="1" t="s">
        <v>7159</v>
      </c>
      <c r="L1866" s="1" t="s">
        <v>482</v>
      </c>
      <c r="P1866" s="1" t="s">
        <v>7145</v>
      </c>
      <c r="Q1866" s="3">
        <v>0</v>
      </c>
      <c r="S1866" s="23" t="s">
        <v>5949</v>
      </c>
      <c r="T1866" s="23" t="s">
        <v>4929</v>
      </c>
      <c r="U1866" s="3">
        <v>34</v>
      </c>
      <c r="V1866" s="3" t="s">
        <v>7144</v>
      </c>
      <c r="W1866" s="45" t="str">
        <f>HYPERLINK("http://ictvonline.org/taxonomy/p/taxonomy-history?taxnode_id=201856682","ICTVonline=201856682")</f>
        <v>ICTVonline=201856682</v>
      </c>
      <c r="AA1866" s="1">
        <v>201850000</v>
      </c>
      <c r="AB1866" s="1">
        <v>34</v>
      </c>
    </row>
    <row r="1867" spans="1:28" x14ac:dyDescent="0.15">
      <c r="A1867" s="1">
        <v>4764</v>
      </c>
      <c r="B1867" s="1" t="s">
        <v>7159</v>
      </c>
      <c r="L1867" s="1" t="s">
        <v>482</v>
      </c>
      <c r="P1867" s="1" t="s">
        <v>495</v>
      </c>
      <c r="Q1867" s="3">
        <v>0</v>
      </c>
      <c r="S1867" s="23" t="s">
        <v>5949</v>
      </c>
      <c r="T1867" s="23" t="s">
        <v>4931</v>
      </c>
      <c r="U1867" s="3">
        <v>34</v>
      </c>
      <c r="W1867" s="45" t="str">
        <f>HYPERLINK("http://ictvonline.org/taxonomy/p/taxonomy-history?taxnode_id=201854736","ICTVonline=201854736")</f>
        <v>ICTVonline=201854736</v>
      </c>
      <c r="AA1867" s="1">
        <v>201850000</v>
      </c>
      <c r="AB1867" s="1">
        <v>34</v>
      </c>
    </row>
    <row r="1868" spans="1:28" x14ac:dyDescent="0.15">
      <c r="A1868" s="1">
        <v>4769</v>
      </c>
      <c r="B1868" s="1" t="s">
        <v>7159</v>
      </c>
      <c r="L1868" s="1" t="s">
        <v>2271</v>
      </c>
      <c r="N1868" s="1" t="s">
        <v>2272</v>
      </c>
      <c r="P1868" s="1" t="s">
        <v>2273</v>
      </c>
      <c r="Q1868" s="3">
        <v>1</v>
      </c>
      <c r="S1868" s="23" t="s">
        <v>5949</v>
      </c>
      <c r="T1868" s="23" t="s">
        <v>4931</v>
      </c>
      <c r="U1868" s="3">
        <v>34</v>
      </c>
      <c r="W1868" s="45" t="str">
        <f>HYPERLINK("http://ictvonline.org/taxonomy/p/taxonomy-history?taxnode_id=201854870","ICTVonline=201854870")</f>
        <v>ICTVonline=201854870</v>
      </c>
      <c r="AA1868" s="1">
        <v>201850000</v>
      </c>
      <c r="AB1868" s="1">
        <v>34</v>
      </c>
    </row>
    <row r="1869" spans="1:28" x14ac:dyDescent="0.15">
      <c r="A1869" s="1">
        <v>4776</v>
      </c>
      <c r="B1869" s="1" t="s">
        <v>7159</v>
      </c>
      <c r="L1869" s="1" t="s">
        <v>1764</v>
      </c>
      <c r="M1869" s="1" t="s">
        <v>1161</v>
      </c>
      <c r="N1869" s="1" t="s">
        <v>734</v>
      </c>
      <c r="P1869" s="1" t="s">
        <v>735</v>
      </c>
      <c r="Q1869" s="3">
        <v>1</v>
      </c>
      <c r="S1869" s="23" t="s">
        <v>5949</v>
      </c>
      <c r="T1869" s="23" t="s">
        <v>4931</v>
      </c>
      <c r="U1869" s="3">
        <v>34</v>
      </c>
      <c r="W1869" s="45" t="str">
        <f>HYPERLINK("http://ictvonline.org/taxonomy/p/taxonomy-history?taxnode_id=201854874","ICTVonline=201854874")</f>
        <v>ICTVonline=201854874</v>
      </c>
      <c r="AA1869" s="1">
        <v>201850000</v>
      </c>
      <c r="AB1869" s="1">
        <v>34</v>
      </c>
    </row>
    <row r="1870" spans="1:28" x14ac:dyDescent="0.15">
      <c r="A1870" s="1">
        <v>4780</v>
      </c>
      <c r="B1870" s="1" t="s">
        <v>7159</v>
      </c>
      <c r="L1870" s="1" t="s">
        <v>1764</v>
      </c>
      <c r="M1870" s="1" t="s">
        <v>1161</v>
      </c>
      <c r="N1870" s="1" t="s">
        <v>1921</v>
      </c>
      <c r="P1870" s="1" t="s">
        <v>1922</v>
      </c>
      <c r="Q1870" s="3">
        <v>1</v>
      </c>
      <c r="S1870" s="23" t="s">
        <v>5949</v>
      </c>
      <c r="T1870" s="23" t="s">
        <v>4931</v>
      </c>
      <c r="U1870" s="3">
        <v>34</v>
      </c>
      <c r="W1870" s="45" t="str">
        <f>HYPERLINK("http://ictvonline.org/taxonomy/p/taxonomy-history?taxnode_id=201854876","ICTVonline=201854876")</f>
        <v>ICTVonline=201854876</v>
      </c>
      <c r="AA1870" s="1">
        <v>201850000</v>
      </c>
      <c r="AB1870" s="1">
        <v>34</v>
      </c>
    </row>
    <row r="1871" spans="1:28" x14ac:dyDescent="0.15">
      <c r="A1871" s="1">
        <v>4784</v>
      </c>
      <c r="B1871" s="1" t="s">
        <v>7159</v>
      </c>
      <c r="L1871" s="1" t="s">
        <v>1764</v>
      </c>
      <c r="M1871" s="1" t="s">
        <v>1161</v>
      </c>
      <c r="N1871" s="1" t="s">
        <v>1927</v>
      </c>
      <c r="P1871" s="1" t="s">
        <v>1373</v>
      </c>
      <c r="Q1871" s="3">
        <v>0</v>
      </c>
      <c r="S1871" s="23" t="s">
        <v>5949</v>
      </c>
      <c r="T1871" s="23" t="s">
        <v>4931</v>
      </c>
      <c r="U1871" s="3">
        <v>34</v>
      </c>
      <c r="W1871" s="45" t="str">
        <f>HYPERLINK("http://ictvonline.org/taxonomy/p/taxonomy-history?taxnode_id=201854878","ICTVonline=201854878")</f>
        <v>ICTVonline=201854878</v>
      </c>
      <c r="AA1871" s="1">
        <v>201850000</v>
      </c>
      <c r="AB1871" s="1">
        <v>34</v>
      </c>
    </row>
    <row r="1872" spans="1:28" x14ac:dyDescent="0.15">
      <c r="A1872" s="1">
        <v>4786</v>
      </c>
      <c r="B1872" s="1" t="s">
        <v>7159</v>
      </c>
      <c r="L1872" s="1" t="s">
        <v>1764</v>
      </c>
      <c r="M1872" s="1" t="s">
        <v>1161</v>
      </c>
      <c r="N1872" s="1" t="s">
        <v>1927</v>
      </c>
      <c r="P1872" s="1" t="s">
        <v>1374</v>
      </c>
      <c r="Q1872" s="3">
        <v>1</v>
      </c>
      <c r="S1872" s="23" t="s">
        <v>5949</v>
      </c>
      <c r="T1872" s="23" t="s">
        <v>4931</v>
      </c>
      <c r="U1872" s="3">
        <v>34</v>
      </c>
      <c r="W1872" s="45" t="str">
        <f>HYPERLINK("http://ictvonline.org/taxonomy/p/taxonomy-history?taxnode_id=201854879","ICTVonline=201854879")</f>
        <v>ICTVonline=201854879</v>
      </c>
      <c r="AA1872" s="1">
        <v>201850000</v>
      </c>
      <c r="AB1872" s="1">
        <v>34</v>
      </c>
    </row>
    <row r="1873" spans="1:28" x14ac:dyDescent="0.15">
      <c r="A1873" s="1">
        <v>4788</v>
      </c>
      <c r="B1873" s="1" t="s">
        <v>7159</v>
      </c>
      <c r="L1873" s="1" t="s">
        <v>1764</v>
      </c>
      <c r="M1873" s="1" t="s">
        <v>1161</v>
      </c>
      <c r="N1873" s="1" t="s">
        <v>1927</v>
      </c>
      <c r="P1873" s="1" t="s">
        <v>1375</v>
      </c>
      <c r="Q1873" s="3">
        <v>0</v>
      </c>
      <c r="S1873" s="23" t="s">
        <v>5949</v>
      </c>
      <c r="T1873" s="23" t="s">
        <v>4931</v>
      </c>
      <c r="U1873" s="3">
        <v>34</v>
      </c>
      <c r="W1873" s="45" t="str">
        <f>HYPERLINK("http://ictvonline.org/taxonomy/p/taxonomy-history?taxnode_id=201854880","ICTVonline=201854880")</f>
        <v>ICTVonline=201854880</v>
      </c>
      <c r="AA1873" s="1">
        <v>201850000</v>
      </c>
      <c r="AB1873" s="1">
        <v>34</v>
      </c>
    </row>
    <row r="1874" spans="1:28" x14ac:dyDescent="0.15">
      <c r="A1874" s="1">
        <v>4790</v>
      </c>
      <c r="B1874" s="1" t="s">
        <v>7159</v>
      </c>
      <c r="L1874" s="1" t="s">
        <v>1764</v>
      </c>
      <c r="M1874" s="1" t="s">
        <v>1161</v>
      </c>
      <c r="N1874" s="1" t="s">
        <v>1927</v>
      </c>
      <c r="P1874" s="1" t="s">
        <v>1376</v>
      </c>
      <c r="Q1874" s="3">
        <v>0</v>
      </c>
      <c r="S1874" s="23" t="s">
        <v>5949</v>
      </c>
      <c r="T1874" s="23" t="s">
        <v>4931</v>
      </c>
      <c r="U1874" s="3">
        <v>34</v>
      </c>
      <c r="W1874" s="45" t="str">
        <f>HYPERLINK("http://ictvonline.org/taxonomy/p/taxonomy-history?taxnode_id=201854881","ICTVonline=201854881")</f>
        <v>ICTVonline=201854881</v>
      </c>
      <c r="AA1874" s="1">
        <v>201850000</v>
      </c>
      <c r="AB1874" s="1">
        <v>34</v>
      </c>
    </row>
    <row r="1875" spans="1:28" x14ac:dyDescent="0.15">
      <c r="A1875" s="1">
        <v>4792</v>
      </c>
      <c r="B1875" s="1" t="s">
        <v>7159</v>
      </c>
      <c r="L1875" s="1" t="s">
        <v>1764</v>
      </c>
      <c r="M1875" s="1" t="s">
        <v>1161</v>
      </c>
      <c r="N1875" s="1" t="s">
        <v>1927</v>
      </c>
      <c r="P1875" s="1" t="s">
        <v>1377</v>
      </c>
      <c r="Q1875" s="3">
        <v>0</v>
      </c>
      <c r="S1875" s="23" t="s">
        <v>5949</v>
      </c>
      <c r="T1875" s="23" t="s">
        <v>4931</v>
      </c>
      <c r="U1875" s="3">
        <v>34</v>
      </c>
      <c r="W1875" s="45" t="str">
        <f>HYPERLINK("http://ictvonline.org/taxonomy/p/taxonomy-history?taxnode_id=201854882","ICTVonline=201854882")</f>
        <v>ICTVonline=201854882</v>
      </c>
      <c r="AA1875" s="1">
        <v>201850000</v>
      </c>
      <c r="AB1875" s="1">
        <v>34</v>
      </c>
    </row>
    <row r="1876" spans="1:28" x14ac:dyDescent="0.15">
      <c r="A1876" s="1">
        <v>4794</v>
      </c>
      <c r="B1876" s="1" t="s">
        <v>7159</v>
      </c>
      <c r="L1876" s="1" t="s">
        <v>1764</v>
      </c>
      <c r="M1876" s="1" t="s">
        <v>1161</v>
      </c>
      <c r="N1876" s="1" t="s">
        <v>1927</v>
      </c>
      <c r="P1876" s="1" t="s">
        <v>1378</v>
      </c>
      <c r="Q1876" s="3">
        <v>0</v>
      </c>
      <c r="S1876" s="23" t="s">
        <v>5949</v>
      </c>
      <c r="T1876" s="23" t="s">
        <v>4931</v>
      </c>
      <c r="U1876" s="3">
        <v>34</v>
      </c>
      <c r="W1876" s="45" t="str">
        <f>HYPERLINK("http://ictvonline.org/taxonomy/p/taxonomy-history?taxnode_id=201854883","ICTVonline=201854883")</f>
        <v>ICTVonline=201854883</v>
      </c>
      <c r="AA1876" s="1">
        <v>201850000</v>
      </c>
      <c r="AB1876" s="1">
        <v>34</v>
      </c>
    </row>
    <row r="1877" spans="1:28" x14ac:dyDescent="0.15">
      <c r="A1877" s="1">
        <v>4796</v>
      </c>
      <c r="B1877" s="1" t="s">
        <v>7159</v>
      </c>
      <c r="L1877" s="1" t="s">
        <v>1764</v>
      </c>
      <c r="M1877" s="1" t="s">
        <v>1161</v>
      </c>
      <c r="N1877" s="1" t="s">
        <v>1927</v>
      </c>
      <c r="P1877" s="1" t="s">
        <v>1390</v>
      </c>
      <c r="Q1877" s="3">
        <v>0</v>
      </c>
      <c r="S1877" s="23" t="s">
        <v>5949</v>
      </c>
      <c r="T1877" s="23" t="s">
        <v>4931</v>
      </c>
      <c r="U1877" s="3">
        <v>34</v>
      </c>
      <c r="W1877" s="45" t="str">
        <f>HYPERLINK("http://ictvonline.org/taxonomy/p/taxonomy-history?taxnode_id=201854884","ICTVonline=201854884")</f>
        <v>ICTVonline=201854884</v>
      </c>
      <c r="AA1877" s="1">
        <v>201850000</v>
      </c>
      <c r="AB1877" s="1">
        <v>34</v>
      </c>
    </row>
    <row r="1878" spans="1:28" x14ac:dyDescent="0.15">
      <c r="A1878" s="1">
        <v>4798</v>
      </c>
      <c r="B1878" s="1" t="s">
        <v>7159</v>
      </c>
      <c r="L1878" s="1" t="s">
        <v>1764</v>
      </c>
      <c r="M1878" s="1" t="s">
        <v>1161</v>
      </c>
      <c r="N1878" s="1" t="s">
        <v>1927</v>
      </c>
      <c r="P1878" s="1" t="s">
        <v>1391</v>
      </c>
      <c r="Q1878" s="3">
        <v>0</v>
      </c>
      <c r="S1878" s="23" t="s">
        <v>5949</v>
      </c>
      <c r="T1878" s="23" t="s">
        <v>4931</v>
      </c>
      <c r="U1878" s="3">
        <v>34</v>
      </c>
      <c r="W1878" s="45" t="str">
        <f>HYPERLINK("http://ictvonline.org/taxonomy/p/taxonomy-history?taxnode_id=201854885","ICTVonline=201854885")</f>
        <v>ICTVonline=201854885</v>
      </c>
      <c r="AA1878" s="1">
        <v>201850000</v>
      </c>
      <c r="AB1878" s="1">
        <v>34</v>
      </c>
    </row>
    <row r="1879" spans="1:28" x14ac:dyDescent="0.15">
      <c r="A1879" s="1">
        <v>4800</v>
      </c>
      <c r="B1879" s="1" t="s">
        <v>7159</v>
      </c>
      <c r="L1879" s="1" t="s">
        <v>1764</v>
      </c>
      <c r="M1879" s="1" t="s">
        <v>1161</v>
      </c>
      <c r="N1879" s="1" t="s">
        <v>1927</v>
      </c>
      <c r="P1879" s="1" t="s">
        <v>1392</v>
      </c>
      <c r="Q1879" s="3">
        <v>0</v>
      </c>
      <c r="S1879" s="23" t="s">
        <v>5949</v>
      </c>
      <c r="T1879" s="23" t="s">
        <v>4931</v>
      </c>
      <c r="U1879" s="3">
        <v>34</v>
      </c>
      <c r="W1879" s="45" t="str">
        <f>HYPERLINK("http://ictvonline.org/taxonomy/p/taxonomy-history?taxnode_id=201854886","ICTVonline=201854886")</f>
        <v>ICTVonline=201854886</v>
      </c>
      <c r="AA1879" s="1">
        <v>201850000</v>
      </c>
      <c r="AB1879" s="1">
        <v>34</v>
      </c>
    </row>
    <row r="1880" spans="1:28" x14ac:dyDescent="0.15">
      <c r="A1880" s="1">
        <v>4802</v>
      </c>
      <c r="B1880" s="1" t="s">
        <v>7159</v>
      </c>
      <c r="L1880" s="1" t="s">
        <v>1764</v>
      </c>
      <c r="M1880" s="1" t="s">
        <v>1161</v>
      </c>
      <c r="N1880" s="1" t="s">
        <v>1927</v>
      </c>
      <c r="P1880" s="1" t="s">
        <v>1393</v>
      </c>
      <c r="Q1880" s="3">
        <v>0</v>
      </c>
      <c r="S1880" s="23" t="s">
        <v>5949</v>
      </c>
      <c r="T1880" s="23" t="s">
        <v>4931</v>
      </c>
      <c r="U1880" s="3">
        <v>34</v>
      </c>
      <c r="W1880" s="45" t="str">
        <f>HYPERLINK("http://ictvonline.org/taxonomy/p/taxonomy-history?taxnode_id=201854887","ICTVonline=201854887")</f>
        <v>ICTVonline=201854887</v>
      </c>
      <c r="AA1880" s="1">
        <v>201850000</v>
      </c>
      <c r="AB1880" s="1">
        <v>34</v>
      </c>
    </row>
    <row r="1881" spans="1:28" x14ac:dyDescent="0.15">
      <c r="A1881" s="1">
        <v>4804</v>
      </c>
      <c r="B1881" s="1" t="s">
        <v>7159</v>
      </c>
      <c r="L1881" s="1" t="s">
        <v>1764</v>
      </c>
      <c r="M1881" s="1" t="s">
        <v>1161</v>
      </c>
      <c r="N1881" s="1" t="s">
        <v>1927</v>
      </c>
      <c r="P1881" s="1" t="s">
        <v>1394</v>
      </c>
      <c r="Q1881" s="3">
        <v>0</v>
      </c>
      <c r="S1881" s="23" t="s">
        <v>5949</v>
      </c>
      <c r="T1881" s="23" t="s">
        <v>4931</v>
      </c>
      <c r="U1881" s="3">
        <v>34</v>
      </c>
      <c r="W1881" s="45" t="str">
        <f>HYPERLINK("http://ictvonline.org/taxonomy/p/taxonomy-history?taxnode_id=201854888","ICTVonline=201854888")</f>
        <v>ICTVonline=201854888</v>
      </c>
      <c r="AA1881" s="1">
        <v>201850000</v>
      </c>
      <c r="AB1881" s="1">
        <v>34</v>
      </c>
    </row>
    <row r="1882" spans="1:28" x14ac:dyDescent="0.15">
      <c r="A1882" s="1">
        <v>4806</v>
      </c>
      <c r="B1882" s="1" t="s">
        <v>7159</v>
      </c>
      <c r="L1882" s="1" t="s">
        <v>1764</v>
      </c>
      <c r="M1882" s="1" t="s">
        <v>1161</v>
      </c>
      <c r="N1882" s="1" t="s">
        <v>1927</v>
      </c>
      <c r="P1882" s="1" t="s">
        <v>1395</v>
      </c>
      <c r="Q1882" s="3">
        <v>0</v>
      </c>
      <c r="S1882" s="23" t="s">
        <v>5949</v>
      </c>
      <c r="T1882" s="23" t="s">
        <v>4931</v>
      </c>
      <c r="U1882" s="3">
        <v>34</v>
      </c>
      <c r="W1882" s="45" t="str">
        <f>HYPERLINK("http://ictvonline.org/taxonomy/p/taxonomy-history?taxnode_id=201854889","ICTVonline=201854889")</f>
        <v>ICTVonline=201854889</v>
      </c>
      <c r="AA1882" s="1">
        <v>201850000</v>
      </c>
      <c r="AB1882" s="1">
        <v>34</v>
      </c>
    </row>
    <row r="1883" spans="1:28" x14ac:dyDescent="0.15">
      <c r="A1883" s="1">
        <v>4808</v>
      </c>
      <c r="B1883" s="1" t="s">
        <v>7159</v>
      </c>
      <c r="L1883" s="1" t="s">
        <v>1764</v>
      </c>
      <c r="M1883" s="1" t="s">
        <v>1161</v>
      </c>
      <c r="N1883" s="1" t="s">
        <v>1927</v>
      </c>
      <c r="P1883" s="1" t="s">
        <v>1400</v>
      </c>
      <c r="Q1883" s="3">
        <v>0</v>
      </c>
      <c r="S1883" s="23" t="s">
        <v>5949</v>
      </c>
      <c r="T1883" s="23" t="s">
        <v>4931</v>
      </c>
      <c r="U1883" s="3">
        <v>34</v>
      </c>
      <c r="W1883" s="45" t="str">
        <f>HYPERLINK("http://ictvonline.org/taxonomy/p/taxonomy-history?taxnode_id=201854890","ICTVonline=201854890")</f>
        <v>ICTVonline=201854890</v>
      </c>
      <c r="AA1883" s="1">
        <v>201850000</v>
      </c>
      <c r="AB1883" s="1">
        <v>34</v>
      </c>
    </row>
    <row r="1884" spans="1:28" x14ac:dyDescent="0.15">
      <c r="A1884" s="1">
        <v>4810</v>
      </c>
      <c r="B1884" s="1" t="s">
        <v>7159</v>
      </c>
      <c r="L1884" s="1" t="s">
        <v>1764</v>
      </c>
      <c r="M1884" s="1" t="s">
        <v>1161</v>
      </c>
      <c r="N1884" s="1" t="s">
        <v>1927</v>
      </c>
      <c r="P1884" s="1" t="s">
        <v>1401</v>
      </c>
      <c r="Q1884" s="3">
        <v>0</v>
      </c>
      <c r="S1884" s="23" t="s">
        <v>5949</v>
      </c>
      <c r="T1884" s="23" t="s">
        <v>4931</v>
      </c>
      <c r="U1884" s="3">
        <v>34</v>
      </c>
      <c r="W1884" s="45" t="str">
        <f>HYPERLINK("http://ictvonline.org/taxonomy/p/taxonomy-history?taxnode_id=201854891","ICTVonline=201854891")</f>
        <v>ICTVonline=201854891</v>
      </c>
      <c r="AA1884" s="1">
        <v>201850000</v>
      </c>
      <c r="AB1884" s="1">
        <v>34</v>
      </c>
    </row>
    <row r="1885" spans="1:28" x14ac:dyDescent="0.15">
      <c r="A1885" s="1">
        <v>4812</v>
      </c>
      <c r="B1885" s="1" t="s">
        <v>7159</v>
      </c>
      <c r="L1885" s="1" t="s">
        <v>1764</v>
      </c>
      <c r="M1885" s="1" t="s">
        <v>1161</v>
      </c>
      <c r="N1885" s="1" t="s">
        <v>1927</v>
      </c>
      <c r="P1885" s="1" t="s">
        <v>1402</v>
      </c>
      <c r="Q1885" s="3">
        <v>0</v>
      </c>
      <c r="S1885" s="23" t="s">
        <v>5949</v>
      </c>
      <c r="T1885" s="23" t="s">
        <v>4931</v>
      </c>
      <c r="U1885" s="3">
        <v>34</v>
      </c>
      <c r="W1885" s="45" t="str">
        <f>HYPERLINK("http://ictvonline.org/taxonomy/p/taxonomy-history?taxnode_id=201854892","ICTVonline=201854892")</f>
        <v>ICTVonline=201854892</v>
      </c>
      <c r="AA1885" s="1">
        <v>201850000</v>
      </c>
      <c r="AB1885" s="1">
        <v>34</v>
      </c>
    </row>
    <row r="1886" spans="1:28" x14ac:dyDescent="0.15">
      <c r="A1886" s="1">
        <v>4814</v>
      </c>
      <c r="B1886" s="1" t="s">
        <v>7159</v>
      </c>
      <c r="L1886" s="1" t="s">
        <v>1764</v>
      </c>
      <c r="M1886" s="1" t="s">
        <v>1161</v>
      </c>
      <c r="N1886" s="1" t="s">
        <v>1927</v>
      </c>
      <c r="P1886" s="1" t="s">
        <v>1302</v>
      </c>
      <c r="Q1886" s="3">
        <v>0</v>
      </c>
      <c r="S1886" s="23" t="s">
        <v>5949</v>
      </c>
      <c r="T1886" s="23" t="s">
        <v>4931</v>
      </c>
      <c r="U1886" s="3">
        <v>34</v>
      </c>
      <c r="W1886" s="45" t="str">
        <f>HYPERLINK("http://ictvonline.org/taxonomy/p/taxonomy-history?taxnode_id=201854893","ICTVonline=201854893")</f>
        <v>ICTVonline=201854893</v>
      </c>
      <c r="AA1886" s="1">
        <v>201850000</v>
      </c>
      <c r="AB1886" s="1">
        <v>34</v>
      </c>
    </row>
    <row r="1887" spans="1:28" x14ac:dyDescent="0.15">
      <c r="A1887" s="1">
        <v>4816</v>
      </c>
      <c r="B1887" s="1" t="s">
        <v>7159</v>
      </c>
      <c r="L1887" s="1" t="s">
        <v>1764</v>
      </c>
      <c r="M1887" s="1" t="s">
        <v>1161</v>
      </c>
      <c r="N1887" s="1" t="s">
        <v>1927</v>
      </c>
      <c r="P1887" s="1" t="s">
        <v>1303</v>
      </c>
      <c r="Q1887" s="3">
        <v>0</v>
      </c>
      <c r="S1887" s="23" t="s">
        <v>5949</v>
      </c>
      <c r="T1887" s="23" t="s">
        <v>4931</v>
      </c>
      <c r="U1887" s="3">
        <v>34</v>
      </c>
      <c r="W1887" s="45" t="str">
        <f>HYPERLINK("http://ictvonline.org/taxonomy/p/taxonomy-history?taxnode_id=201854894","ICTVonline=201854894")</f>
        <v>ICTVonline=201854894</v>
      </c>
      <c r="AA1887" s="1">
        <v>201850000</v>
      </c>
      <c r="AB1887" s="1">
        <v>34</v>
      </c>
    </row>
    <row r="1888" spans="1:28" x14ac:dyDescent="0.15">
      <c r="A1888" s="1">
        <v>4818</v>
      </c>
      <c r="B1888" s="1" t="s">
        <v>7159</v>
      </c>
      <c r="L1888" s="1" t="s">
        <v>1764</v>
      </c>
      <c r="M1888" s="1" t="s">
        <v>1161</v>
      </c>
      <c r="N1888" s="1" t="s">
        <v>1927</v>
      </c>
      <c r="P1888" s="1" t="s">
        <v>1304</v>
      </c>
      <c r="Q1888" s="3">
        <v>0</v>
      </c>
      <c r="S1888" s="23" t="s">
        <v>5949</v>
      </c>
      <c r="T1888" s="23" t="s">
        <v>4931</v>
      </c>
      <c r="U1888" s="3">
        <v>34</v>
      </c>
      <c r="W1888" s="45" t="str">
        <f>HYPERLINK("http://ictvonline.org/taxonomy/p/taxonomy-history?taxnode_id=201854895","ICTVonline=201854895")</f>
        <v>ICTVonline=201854895</v>
      </c>
      <c r="AA1888" s="1">
        <v>201850000</v>
      </c>
      <c r="AB1888" s="1">
        <v>34</v>
      </c>
    </row>
    <row r="1889" spans="1:28" x14ac:dyDescent="0.15">
      <c r="A1889" s="1">
        <v>4820</v>
      </c>
      <c r="B1889" s="1" t="s">
        <v>7159</v>
      </c>
      <c r="L1889" s="1" t="s">
        <v>1764</v>
      </c>
      <c r="M1889" s="1" t="s">
        <v>1161</v>
      </c>
      <c r="N1889" s="1" t="s">
        <v>1927</v>
      </c>
      <c r="P1889" s="1" t="s">
        <v>1305</v>
      </c>
      <c r="Q1889" s="3">
        <v>0</v>
      </c>
      <c r="S1889" s="23" t="s">
        <v>5949</v>
      </c>
      <c r="T1889" s="23" t="s">
        <v>4931</v>
      </c>
      <c r="U1889" s="3">
        <v>34</v>
      </c>
      <c r="W1889" s="45" t="str">
        <f>HYPERLINK("http://ictvonline.org/taxonomy/p/taxonomy-history?taxnode_id=201854896","ICTVonline=201854896")</f>
        <v>ICTVonline=201854896</v>
      </c>
      <c r="AA1889" s="1">
        <v>201850000</v>
      </c>
      <c r="AB1889" s="1">
        <v>34</v>
      </c>
    </row>
    <row r="1890" spans="1:28" x14ac:dyDescent="0.15">
      <c r="A1890" s="1">
        <v>4822</v>
      </c>
      <c r="B1890" s="1" t="s">
        <v>7159</v>
      </c>
      <c r="L1890" s="1" t="s">
        <v>1764</v>
      </c>
      <c r="M1890" s="1" t="s">
        <v>1161</v>
      </c>
      <c r="N1890" s="1" t="s">
        <v>1927</v>
      </c>
      <c r="P1890" s="1" t="s">
        <v>1306</v>
      </c>
      <c r="Q1890" s="3">
        <v>0</v>
      </c>
      <c r="S1890" s="23" t="s">
        <v>5949</v>
      </c>
      <c r="T1890" s="23" t="s">
        <v>4931</v>
      </c>
      <c r="U1890" s="3">
        <v>34</v>
      </c>
      <c r="W1890" s="45" t="str">
        <f>HYPERLINK("http://ictvonline.org/taxonomy/p/taxonomy-history?taxnode_id=201854897","ICTVonline=201854897")</f>
        <v>ICTVonline=201854897</v>
      </c>
      <c r="AA1890" s="1">
        <v>201850000</v>
      </c>
      <c r="AB1890" s="1">
        <v>34</v>
      </c>
    </row>
    <row r="1891" spans="1:28" x14ac:dyDescent="0.15">
      <c r="A1891" s="1">
        <v>4824</v>
      </c>
      <c r="B1891" s="1" t="s">
        <v>7159</v>
      </c>
      <c r="L1891" s="1" t="s">
        <v>1764</v>
      </c>
      <c r="M1891" s="1" t="s">
        <v>1161</v>
      </c>
      <c r="N1891" s="1" t="s">
        <v>1927</v>
      </c>
      <c r="P1891" s="1" t="s">
        <v>1307</v>
      </c>
      <c r="Q1891" s="3">
        <v>0</v>
      </c>
      <c r="S1891" s="23" t="s">
        <v>5949</v>
      </c>
      <c r="T1891" s="23" t="s">
        <v>4931</v>
      </c>
      <c r="U1891" s="3">
        <v>34</v>
      </c>
      <c r="W1891" s="45" t="str">
        <f>HYPERLINK("http://ictvonline.org/taxonomy/p/taxonomy-history?taxnode_id=201854898","ICTVonline=201854898")</f>
        <v>ICTVonline=201854898</v>
      </c>
      <c r="AA1891" s="1">
        <v>201850000</v>
      </c>
      <c r="AB1891" s="1">
        <v>34</v>
      </c>
    </row>
    <row r="1892" spans="1:28" x14ac:dyDescent="0.15">
      <c r="A1892" s="1">
        <v>4826</v>
      </c>
      <c r="B1892" s="1" t="s">
        <v>7159</v>
      </c>
      <c r="L1892" s="1" t="s">
        <v>1764</v>
      </c>
      <c r="M1892" s="1" t="s">
        <v>1161</v>
      </c>
      <c r="N1892" s="1" t="s">
        <v>1927</v>
      </c>
      <c r="P1892" s="1" t="s">
        <v>1308</v>
      </c>
      <c r="Q1892" s="3">
        <v>0</v>
      </c>
      <c r="S1892" s="23" t="s">
        <v>5949</v>
      </c>
      <c r="T1892" s="23" t="s">
        <v>4931</v>
      </c>
      <c r="U1892" s="3">
        <v>34</v>
      </c>
      <c r="W1892" s="45" t="str">
        <f>HYPERLINK("http://ictvonline.org/taxonomy/p/taxonomy-history?taxnode_id=201854899","ICTVonline=201854899")</f>
        <v>ICTVonline=201854899</v>
      </c>
      <c r="AA1892" s="1">
        <v>201850000</v>
      </c>
      <c r="AB1892" s="1">
        <v>34</v>
      </c>
    </row>
    <row r="1893" spans="1:28" x14ac:dyDescent="0.15">
      <c r="A1893" s="1">
        <v>4830</v>
      </c>
      <c r="B1893" s="1" t="s">
        <v>7159</v>
      </c>
      <c r="L1893" s="1" t="s">
        <v>1764</v>
      </c>
      <c r="M1893" s="1" t="s">
        <v>1161</v>
      </c>
      <c r="N1893" s="1" t="s">
        <v>240</v>
      </c>
      <c r="P1893" s="1" t="s">
        <v>347</v>
      </c>
      <c r="Q1893" s="3">
        <v>0</v>
      </c>
      <c r="S1893" s="23" t="s">
        <v>5949</v>
      </c>
      <c r="T1893" s="23" t="s">
        <v>4931</v>
      </c>
      <c r="U1893" s="3">
        <v>34</v>
      </c>
      <c r="W1893" s="45" t="str">
        <f>HYPERLINK("http://ictvonline.org/taxonomy/p/taxonomy-history?taxnode_id=201854901","ICTVonline=201854901")</f>
        <v>ICTVonline=201854901</v>
      </c>
      <c r="AA1893" s="1">
        <v>201850000</v>
      </c>
      <c r="AB1893" s="1">
        <v>34</v>
      </c>
    </row>
    <row r="1894" spans="1:28" x14ac:dyDescent="0.15">
      <c r="A1894" s="1">
        <v>4832</v>
      </c>
      <c r="B1894" s="1" t="s">
        <v>7159</v>
      </c>
      <c r="L1894" s="1" t="s">
        <v>1764</v>
      </c>
      <c r="M1894" s="1" t="s">
        <v>1161</v>
      </c>
      <c r="N1894" s="1" t="s">
        <v>240</v>
      </c>
      <c r="P1894" s="1" t="s">
        <v>348</v>
      </c>
      <c r="Q1894" s="3">
        <v>0</v>
      </c>
      <c r="S1894" s="23" t="s">
        <v>5949</v>
      </c>
      <c r="T1894" s="23" t="s">
        <v>4931</v>
      </c>
      <c r="U1894" s="3">
        <v>34</v>
      </c>
      <c r="W1894" s="45" t="str">
        <f>HYPERLINK("http://ictvonline.org/taxonomy/p/taxonomy-history?taxnode_id=201854902","ICTVonline=201854902")</f>
        <v>ICTVonline=201854902</v>
      </c>
      <c r="AA1894" s="1">
        <v>201850000</v>
      </c>
      <c r="AB1894" s="1">
        <v>34</v>
      </c>
    </row>
    <row r="1895" spans="1:28" x14ac:dyDescent="0.15">
      <c r="A1895" s="1">
        <v>4834</v>
      </c>
      <c r="B1895" s="1" t="s">
        <v>7159</v>
      </c>
      <c r="L1895" s="1" t="s">
        <v>1764</v>
      </c>
      <c r="M1895" s="1" t="s">
        <v>1161</v>
      </c>
      <c r="N1895" s="1" t="s">
        <v>240</v>
      </c>
      <c r="P1895" s="1" t="s">
        <v>349</v>
      </c>
      <c r="Q1895" s="3">
        <v>1</v>
      </c>
      <c r="S1895" s="23" t="s">
        <v>5949</v>
      </c>
      <c r="T1895" s="23" t="s">
        <v>4931</v>
      </c>
      <c r="U1895" s="3">
        <v>34</v>
      </c>
      <c r="W1895" s="45" t="str">
        <f>HYPERLINK("http://ictvonline.org/taxonomy/p/taxonomy-history?taxnode_id=201854903","ICTVonline=201854903")</f>
        <v>ICTVonline=201854903</v>
      </c>
      <c r="AA1895" s="1">
        <v>201850000</v>
      </c>
      <c r="AB1895" s="1">
        <v>34</v>
      </c>
    </row>
    <row r="1896" spans="1:28" x14ac:dyDescent="0.15">
      <c r="A1896" s="1">
        <v>4838</v>
      </c>
      <c r="B1896" s="1" t="s">
        <v>7159</v>
      </c>
      <c r="L1896" s="1" t="s">
        <v>1764</v>
      </c>
      <c r="M1896" s="1" t="s">
        <v>1161</v>
      </c>
      <c r="N1896" s="1" t="s">
        <v>228</v>
      </c>
      <c r="P1896" s="1" t="s">
        <v>351</v>
      </c>
      <c r="Q1896" s="3">
        <v>1</v>
      </c>
      <c r="S1896" s="23" t="s">
        <v>5949</v>
      </c>
      <c r="T1896" s="23" t="s">
        <v>4931</v>
      </c>
      <c r="U1896" s="3">
        <v>34</v>
      </c>
      <c r="W1896" s="45" t="str">
        <f>HYPERLINK("http://ictvonline.org/taxonomy/p/taxonomy-history?taxnode_id=201854905","ICTVonline=201854905")</f>
        <v>ICTVonline=201854905</v>
      </c>
      <c r="AA1896" s="1">
        <v>201850000</v>
      </c>
      <c r="AB1896" s="1">
        <v>34</v>
      </c>
    </row>
    <row r="1897" spans="1:28" x14ac:dyDescent="0.15">
      <c r="A1897" s="1">
        <v>4840</v>
      </c>
      <c r="B1897" s="1" t="s">
        <v>7159</v>
      </c>
      <c r="L1897" s="1" t="s">
        <v>1764</v>
      </c>
      <c r="M1897" s="1" t="s">
        <v>1161</v>
      </c>
      <c r="N1897" s="1" t="s">
        <v>228</v>
      </c>
      <c r="P1897" s="1" t="s">
        <v>352</v>
      </c>
      <c r="Q1897" s="3">
        <v>0</v>
      </c>
      <c r="S1897" s="23" t="s">
        <v>5949</v>
      </c>
      <c r="T1897" s="23" t="s">
        <v>4931</v>
      </c>
      <c r="U1897" s="3">
        <v>34</v>
      </c>
      <c r="W1897" s="45" t="str">
        <f>HYPERLINK("http://ictvonline.org/taxonomy/p/taxonomy-history?taxnode_id=201854906","ICTVonline=201854906")</f>
        <v>ICTVonline=201854906</v>
      </c>
      <c r="AA1897" s="1">
        <v>201850000</v>
      </c>
      <c r="AB1897" s="1">
        <v>34</v>
      </c>
    </row>
    <row r="1898" spans="1:28" x14ac:dyDescent="0.15">
      <c r="A1898" s="1">
        <v>4842</v>
      </c>
      <c r="B1898" s="1" t="s">
        <v>7159</v>
      </c>
      <c r="L1898" s="1" t="s">
        <v>1764</v>
      </c>
      <c r="M1898" s="1" t="s">
        <v>1161</v>
      </c>
      <c r="N1898" s="1" t="s">
        <v>228</v>
      </c>
      <c r="P1898" s="1" t="s">
        <v>353</v>
      </c>
      <c r="Q1898" s="3">
        <v>0</v>
      </c>
      <c r="S1898" s="23" t="s">
        <v>5949</v>
      </c>
      <c r="T1898" s="23" t="s">
        <v>4931</v>
      </c>
      <c r="U1898" s="3">
        <v>34</v>
      </c>
      <c r="W1898" s="45" t="str">
        <f>HYPERLINK("http://ictvonline.org/taxonomy/p/taxonomy-history?taxnode_id=201854907","ICTVonline=201854907")</f>
        <v>ICTVonline=201854907</v>
      </c>
      <c r="AA1898" s="1">
        <v>201850000</v>
      </c>
      <c r="AB1898" s="1">
        <v>34</v>
      </c>
    </row>
    <row r="1899" spans="1:28" x14ac:dyDescent="0.15">
      <c r="A1899" s="1">
        <v>4844</v>
      </c>
      <c r="B1899" s="1" t="s">
        <v>7159</v>
      </c>
      <c r="L1899" s="1" t="s">
        <v>1764</v>
      </c>
      <c r="M1899" s="1" t="s">
        <v>1161</v>
      </c>
      <c r="N1899" s="1" t="s">
        <v>228</v>
      </c>
      <c r="P1899" s="1" t="s">
        <v>354</v>
      </c>
      <c r="Q1899" s="3">
        <v>0</v>
      </c>
      <c r="S1899" s="23" t="s">
        <v>5949</v>
      </c>
      <c r="T1899" s="23" t="s">
        <v>4931</v>
      </c>
      <c r="U1899" s="3">
        <v>34</v>
      </c>
      <c r="W1899" s="45" t="str">
        <f>HYPERLINK("http://ictvonline.org/taxonomy/p/taxonomy-history?taxnode_id=201854908","ICTVonline=201854908")</f>
        <v>ICTVonline=201854908</v>
      </c>
      <c r="AA1899" s="1">
        <v>201850000</v>
      </c>
      <c r="AB1899" s="1">
        <v>34</v>
      </c>
    </row>
    <row r="1900" spans="1:28" x14ac:dyDescent="0.15">
      <c r="A1900" s="1">
        <v>4846</v>
      </c>
      <c r="B1900" s="1" t="s">
        <v>7159</v>
      </c>
      <c r="L1900" s="1" t="s">
        <v>1764</v>
      </c>
      <c r="M1900" s="1" t="s">
        <v>1161</v>
      </c>
      <c r="N1900" s="1" t="s">
        <v>228</v>
      </c>
      <c r="P1900" s="1" t="s">
        <v>355</v>
      </c>
      <c r="Q1900" s="3">
        <v>0</v>
      </c>
      <c r="S1900" s="23" t="s">
        <v>5949</v>
      </c>
      <c r="T1900" s="23" t="s">
        <v>4931</v>
      </c>
      <c r="U1900" s="3">
        <v>34</v>
      </c>
      <c r="W1900" s="45" t="str">
        <f>HYPERLINK("http://ictvonline.org/taxonomy/p/taxonomy-history?taxnode_id=201854909","ICTVonline=201854909")</f>
        <v>ICTVonline=201854909</v>
      </c>
      <c r="AA1900" s="1">
        <v>201850000</v>
      </c>
      <c r="AB1900" s="1">
        <v>34</v>
      </c>
    </row>
    <row r="1901" spans="1:28" x14ac:dyDescent="0.15">
      <c r="A1901" s="1">
        <v>4848</v>
      </c>
      <c r="B1901" s="1" t="s">
        <v>7159</v>
      </c>
      <c r="L1901" s="1" t="s">
        <v>1764</v>
      </c>
      <c r="M1901" s="1" t="s">
        <v>1161</v>
      </c>
      <c r="N1901" s="1" t="s">
        <v>228</v>
      </c>
      <c r="P1901" s="1" t="s">
        <v>2728</v>
      </c>
      <c r="Q1901" s="3">
        <v>0</v>
      </c>
      <c r="S1901" s="23" t="s">
        <v>5949</v>
      </c>
      <c r="T1901" s="23" t="s">
        <v>4931</v>
      </c>
      <c r="U1901" s="3">
        <v>34</v>
      </c>
      <c r="W1901" s="45" t="str">
        <f>HYPERLINK("http://ictvonline.org/taxonomy/p/taxonomy-history?taxnode_id=201854910","ICTVonline=201854910")</f>
        <v>ICTVonline=201854910</v>
      </c>
      <c r="AA1901" s="1">
        <v>201850000</v>
      </c>
      <c r="AB1901" s="1">
        <v>34</v>
      </c>
    </row>
    <row r="1902" spans="1:28" x14ac:dyDescent="0.15">
      <c r="A1902" s="1">
        <v>4850</v>
      </c>
      <c r="B1902" s="1" t="s">
        <v>7159</v>
      </c>
      <c r="L1902" s="1" t="s">
        <v>1764</v>
      </c>
      <c r="M1902" s="1" t="s">
        <v>1161</v>
      </c>
      <c r="N1902" s="1" t="s">
        <v>228</v>
      </c>
      <c r="P1902" s="1" t="s">
        <v>2729</v>
      </c>
      <c r="Q1902" s="3">
        <v>0</v>
      </c>
      <c r="S1902" s="23" t="s">
        <v>5949</v>
      </c>
      <c r="T1902" s="23" t="s">
        <v>4931</v>
      </c>
      <c r="U1902" s="3">
        <v>34</v>
      </c>
      <c r="W1902" s="45" t="str">
        <f>HYPERLINK("http://ictvonline.org/taxonomy/p/taxonomy-history?taxnode_id=201854911","ICTVonline=201854911")</f>
        <v>ICTVonline=201854911</v>
      </c>
      <c r="AA1902" s="1">
        <v>201850000</v>
      </c>
      <c r="AB1902" s="1">
        <v>34</v>
      </c>
    </row>
    <row r="1903" spans="1:28" x14ac:dyDescent="0.15">
      <c r="A1903" s="1">
        <v>4852</v>
      </c>
      <c r="B1903" s="1" t="s">
        <v>7159</v>
      </c>
      <c r="L1903" s="1" t="s">
        <v>1764</v>
      </c>
      <c r="M1903" s="1" t="s">
        <v>1161</v>
      </c>
      <c r="N1903" s="1" t="s">
        <v>228</v>
      </c>
      <c r="P1903" s="1" t="s">
        <v>2730</v>
      </c>
      <c r="Q1903" s="3">
        <v>0</v>
      </c>
      <c r="S1903" s="23" t="s">
        <v>5949</v>
      </c>
      <c r="T1903" s="23" t="s">
        <v>4931</v>
      </c>
      <c r="U1903" s="3">
        <v>34</v>
      </c>
      <c r="W1903" s="45" t="str">
        <f>HYPERLINK("http://ictvonline.org/taxonomy/p/taxonomy-history?taxnode_id=201854912","ICTVonline=201854912")</f>
        <v>ICTVonline=201854912</v>
      </c>
      <c r="AA1903" s="1">
        <v>201850000</v>
      </c>
      <c r="AB1903" s="1">
        <v>34</v>
      </c>
    </row>
    <row r="1904" spans="1:28" x14ac:dyDescent="0.15">
      <c r="A1904" s="1">
        <v>4854</v>
      </c>
      <c r="B1904" s="1" t="s">
        <v>7159</v>
      </c>
      <c r="L1904" s="1" t="s">
        <v>1764</v>
      </c>
      <c r="M1904" s="1" t="s">
        <v>1161</v>
      </c>
      <c r="N1904" s="1" t="s">
        <v>228</v>
      </c>
      <c r="P1904" s="1" t="s">
        <v>4834</v>
      </c>
      <c r="Q1904" s="3">
        <v>0</v>
      </c>
      <c r="S1904" s="23" t="s">
        <v>5949</v>
      </c>
      <c r="T1904" s="23" t="s">
        <v>4931</v>
      </c>
      <c r="U1904" s="3">
        <v>34</v>
      </c>
      <c r="W1904" s="45" t="str">
        <f>HYPERLINK("http://ictvonline.org/taxonomy/p/taxonomy-history?taxnode_id=201854913","ICTVonline=201854913")</f>
        <v>ICTVonline=201854913</v>
      </c>
      <c r="AA1904" s="1">
        <v>201850000</v>
      </c>
      <c r="AB1904" s="1">
        <v>34</v>
      </c>
    </row>
    <row r="1905" spans="1:28" x14ac:dyDescent="0.15">
      <c r="A1905" s="1">
        <v>4858</v>
      </c>
      <c r="B1905" s="1" t="s">
        <v>7159</v>
      </c>
      <c r="L1905" s="1" t="s">
        <v>1764</v>
      </c>
      <c r="M1905" s="1" t="s">
        <v>1161</v>
      </c>
      <c r="N1905" s="1" t="s">
        <v>356</v>
      </c>
      <c r="P1905" s="1" t="s">
        <v>357</v>
      </c>
      <c r="Q1905" s="3">
        <v>1</v>
      </c>
      <c r="S1905" s="23" t="s">
        <v>5949</v>
      </c>
      <c r="T1905" s="23" t="s">
        <v>4931</v>
      </c>
      <c r="U1905" s="3">
        <v>34</v>
      </c>
      <c r="W1905" s="45" t="str">
        <f>HYPERLINK("http://ictvonline.org/taxonomy/p/taxonomy-history?taxnode_id=201854915","ICTVonline=201854915")</f>
        <v>ICTVonline=201854915</v>
      </c>
      <c r="AA1905" s="1">
        <v>201850000</v>
      </c>
      <c r="AB1905" s="1">
        <v>34</v>
      </c>
    </row>
    <row r="1906" spans="1:28" x14ac:dyDescent="0.15">
      <c r="A1906" s="1">
        <v>4860</v>
      </c>
      <c r="B1906" s="1" t="s">
        <v>7159</v>
      </c>
      <c r="L1906" s="1" t="s">
        <v>1764</v>
      </c>
      <c r="M1906" s="1" t="s">
        <v>1161</v>
      </c>
      <c r="N1906" s="1" t="s">
        <v>356</v>
      </c>
      <c r="P1906" s="1" t="s">
        <v>358</v>
      </c>
      <c r="Q1906" s="3">
        <v>0</v>
      </c>
      <c r="S1906" s="23" t="s">
        <v>5949</v>
      </c>
      <c r="T1906" s="23" t="s">
        <v>4931</v>
      </c>
      <c r="U1906" s="3">
        <v>34</v>
      </c>
      <c r="W1906" s="45" t="str">
        <f>HYPERLINK("http://ictvonline.org/taxonomy/p/taxonomy-history?taxnode_id=201854916","ICTVonline=201854916")</f>
        <v>ICTVonline=201854916</v>
      </c>
      <c r="AA1906" s="1">
        <v>201850000</v>
      </c>
      <c r="AB1906" s="1">
        <v>34</v>
      </c>
    </row>
    <row r="1907" spans="1:28" x14ac:dyDescent="0.15">
      <c r="A1907" s="1">
        <v>4862</v>
      </c>
      <c r="B1907" s="1" t="s">
        <v>7159</v>
      </c>
      <c r="L1907" s="1" t="s">
        <v>1764</v>
      </c>
      <c r="M1907" s="1" t="s">
        <v>1161</v>
      </c>
      <c r="N1907" s="1" t="s">
        <v>356</v>
      </c>
      <c r="P1907" s="1" t="s">
        <v>359</v>
      </c>
      <c r="Q1907" s="3">
        <v>0</v>
      </c>
      <c r="S1907" s="23" t="s">
        <v>5949</v>
      </c>
      <c r="T1907" s="23" t="s">
        <v>4931</v>
      </c>
      <c r="U1907" s="3">
        <v>34</v>
      </c>
      <c r="W1907" s="45" t="str">
        <f>HYPERLINK("http://ictvonline.org/taxonomy/p/taxonomy-history?taxnode_id=201854917","ICTVonline=201854917")</f>
        <v>ICTVonline=201854917</v>
      </c>
      <c r="AA1907" s="1">
        <v>201850000</v>
      </c>
      <c r="AB1907" s="1">
        <v>34</v>
      </c>
    </row>
    <row r="1908" spans="1:28" x14ac:dyDescent="0.15">
      <c r="A1908" s="1">
        <v>4868</v>
      </c>
      <c r="B1908" s="1" t="s">
        <v>7159</v>
      </c>
      <c r="L1908" s="1" t="s">
        <v>1764</v>
      </c>
      <c r="M1908" s="1" t="s">
        <v>1160</v>
      </c>
      <c r="N1908" s="1" t="s">
        <v>726</v>
      </c>
      <c r="P1908" s="1" t="s">
        <v>727</v>
      </c>
      <c r="Q1908" s="3">
        <v>1</v>
      </c>
      <c r="S1908" s="23" t="s">
        <v>5949</v>
      </c>
      <c r="T1908" s="23" t="s">
        <v>4931</v>
      </c>
      <c r="U1908" s="3">
        <v>34</v>
      </c>
      <c r="W1908" s="45" t="str">
        <f>HYPERLINK("http://ictvonline.org/taxonomy/p/taxonomy-history?taxnode_id=201854920","ICTVonline=201854920")</f>
        <v>ICTVonline=201854920</v>
      </c>
      <c r="AA1908" s="1">
        <v>201850000</v>
      </c>
      <c r="AB1908" s="1">
        <v>34</v>
      </c>
    </row>
    <row r="1909" spans="1:28" x14ac:dyDescent="0.15">
      <c r="A1909" s="1">
        <v>4870</v>
      </c>
      <c r="B1909" s="1" t="s">
        <v>7159</v>
      </c>
      <c r="L1909" s="1" t="s">
        <v>1764</v>
      </c>
      <c r="M1909" s="1" t="s">
        <v>1160</v>
      </c>
      <c r="N1909" s="1" t="s">
        <v>726</v>
      </c>
      <c r="P1909" s="1" t="s">
        <v>728</v>
      </c>
      <c r="Q1909" s="3">
        <v>0</v>
      </c>
      <c r="S1909" s="23" t="s">
        <v>5949</v>
      </c>
      <c r="T1909" s="23" t="s">
        <v>4931</v>
      </c>
      <c r="U1909" s="3">
        <v>34</v>
      </c>
      <c r="W1909" s="45" t="str">
        <f>HYPERLINK("http://ictvonline.org/taxonomy/p/taxonomy-history?taxnode_id=201854921","ICTVonline=201854921")</f>
        <v>ICTVonline=201854921</v>
      </c>
      <c r="AA1909" s="1">
        <v>201850000</v>
      </c>
      <c r="AB1909" s="1">
        <v>34</v>
      </c>
    </row>
    <row r="1910" spans="1:28" x14ac:dyDescent="0.15">
      <c r="A1910" s="1">
        <v>4872</v>
      </c>
      <c r="B1910" s="1" t="s">
        <v>7159</v>
      </c>
      <c r="L1910" s="1" t="s">
        <v>1764</v>
      </c>
      <c r="M1910" s="1" t="s">
        <v>1160</v>
      </c>
      <c r="N1910" s="1" t="s">
        <v>726</v>
      </c>
      <c r="P1910" s="1" t="s">
        <v>729</v>
      </c>
      <c r="Q1910" s="3">
        <v>0</v>
      </c>
      <c r="S1910" s="23" t="s">
        <v>5949</v>
      </c>
      <c r="T1910" s="23" t="s">
        <v>4931</v>
      </c>
      <c r="U1910" s="3">
        <v>34</v>
      </c>
      <c r="W1910" s="45" t="str">
        <f>HYPERLINK("http://ictvonline.org/taxonomy/p/taxonomy-history?taxnode_id=201854922","ICTVonline=201854922")</f>
        <v>ICTVonline=201854922</v>
      </c>
      <c r="AA1910" s="1">
        <v>201850000</v>
      </c>
      <c r="AB1910" s="1">
        <v>34</v>
      </c>
    </row>
    <row r="1911" spans="1:28" x14ac:dyDescent="0.15">
      <c r="A1911" s="1">
        <v>4874</v>
      </c>
      <c r="B1911" s="1" t="s">
        <v>7159</v>
      </c>
      <c r="L1911" s="1" t="s">
        <v>1764</v>
      </c>
      <c r="M1911" s="1" t="s">
        <v>1160</v>
      </c>
      <c r="N1911" s="1" t="s">
        <v>726</v>
      </c>
      <c r="P1911" s="1" t="s">
        <v>730</v>
      </c>
      <c r="Q1911" s="3">
        <v>0</v>
      </c>
      <c r="S1911" s="23" t="s">
        <v>5949</v>
      </c>
      <c r="T1911" s="23" t="s">
        <v>4931</v>
      </c>
      <c r="U1911" s="3">
        <v>34</v>
      </c>
      <c r="W1911" s="45" t="str">
        <f>HYPERLINK("http://ictvonline.org/taxonomy/p/taxonomy-history?taxnode_id=201854923","ICTVonline=201854923")</f>
        <v>ICTVonline=201854923</v>
      </c>
      <c r="AA1911" s="1">
        <v>201850000</v>
      </c>
      <c r="AB1911" s="1">
        <v>34</v>
      </c>
    </row>
    <row r="1912" spans="1:28" x14ac:dyDescent="0.15">
      <c r="A1912" s="1">
        <v>4876</v>
      </c>
      <c r="B1912" s="1" t="s">
        <v>7159</v>
      </c>
      <c r="L1912" s="1" t="s">
        <v>1764</v>
      </c>
      <c r="M1912" s="1" t="s">
        <v>1160</v>
      </c>
      <c r="N1912" s="1" t="s">
        <v>726</v>
      </c>
      <c r="P1912" s="1" t="s">
        <v>731</v>
      </c>
      <c r="Q1912" s="3">
        <v>0</v>
      </c>
      <c r="S1912" s="23" t="s">
        <v>5949</v>
      </c>
      <c r="T1912" s="23" t="s">
        <v>4931</v>
      </c>
      <c r="U1912" s="3">
        <v>34</v>
      </c>
      <c r="W1912" s="45" t="str">
        <f>HYPERLINK("http://ictvonline.org/taxonomy/p/taxonomy-history?taxnode_id=201854924","ICTVonline=201854924")</f>
        <v>ICTVonline=201854924</v>
      </c>
      <c r="AA1912" s="1">
        <v>201850000</v>
      </c>
      <c r="AB1912" s="1">
        <v>34</v>
      </c>
    </row>
    <row r="1913" spans="1:28" x14ac:dyDescent="0.15">
      <c r="A1913" s="1">
        <v>4878</v>
      </c>
      <c r="B1913" s="1" t="s">
        <v>7159</v>
      </c>
      <c r="L1913" s="1" t="s">
        <v>1764</v>
      </c>
      <c r="M1913" s="1" t="s">
        <v>1160</v>
      </c>
      <c r="N1913" s="1" t="s">
        <v>726</v>
      </c>
      <c r="P1913" s="1" t="s">
        <v>732</v>
      </c>
      <c r="Q1913" s="3">
        <v>0</v>
      </c>
      <c r="S1913" s="23" t="s">
        <v>5949</v>
      </c>
      <c r="T1913" s="23" t="s">
        <v>4931</v>
      </c>
      <c r="U1913" s="3">
        <v>34</v>
      </c>
      <c r="W1913" s="45" t="str">
        <f>HYPERLINK("http://ictvonline.org/taxonomy/p/taxonomy-history?taxnode_id=201854925","ICTVonline=201854925")</f>
        <v>ICTVonline=201854925</v>
      </c>
      <c r="AA1913" s="1">
        <v>201850000</v>
      </c>
      <c r="AB1913" s="1">
        <v>34</v>
      </c>
    </row>
    <row r="1914" spans="1:28" x14ac:dyDescent="0.15">
      <c r="A1914" s="1">
        <v>4880</v>
      </c>
      <c r="B1914" s="1" t="s">
        <v>7159</v>
      </c>
      <c r="L1914" s="1" t="s">
        <v>1764</v>
      </c>
      <c r="M1914" s="1" t="s">
        <v>1160</v>
      </c>
      <c r="N1914" s="1" t="s">
        <v>726</v>
      </c>
      <c r="P1914" s="1" t="s">
        <v>733</v>
      </c>
      <c r="Q1914" s="3">
        <v>0</v>
      </c>
      <c r="S1914" s="23" t="s">
        <v>5949</v>
      </c>
      <c r="T1914" s="23" t="s">
        <v>4931</v>
      </c>
      <c r="U1914" s="3">
        <v>34</v>
      </c>
      <c r="W1914" s="45" t="str">
        <f>HYPERLINK("http://ictvonline.org/taxonomy/p/taxonomy-history?taxnode_id=201854926","ICTVonline=201854926")</f>
        <v>ICTVonline=201854926</v>
      </c>
      <c r="AA1914" s="1">
        <v>201850000</v>
      </c>
      <c r="AB1914" s="1">
        <v>34</v>
      </c>
    </row>
    <row r="1915" spans="1:28" x14ac:dyDescent="0.15">
      <c r="A1915" s="1">
        <v>4884</v>
      </c>
      <c r="B1915" s="1" t="s">
        <v>7159</v>
      </c>
      <c r="L1915" s="1" t="s">
        <v>1764</v>
      </c>
      <c r="M1915" s="1" t="s">
        <v>1160</v>
      </c>
      <c r="N1915" s="1" t="s">
        <v>736</v>
      </c>
      <c r="P1915" s="1" t="s">
        <v>737</v>
      </c>
      <c r="Q1915" s="3">
        <v>1</v>
      </c>
      <c r="S1915" s="23" t="s">
        <v>5949</v>
      </c>
      <c r="T1915" s="23" t="s">
        <v>4931</v>
      </c>
      <c r="U1915" s="3">
        <v>34</v>
      </c>
      <c r="W1915" s="45" t="str">
        <f>HYPERLINK("http://ictvonline.org/taxonomy/p/taxonomy-history?taxnode_id=201854928","ICTVonline=201854928")</f>
        <v>ICTVonline=201854928</v>
      </c>
      <c r="AA1915" s="1">
        <v>201850000</v>
      </c>
      <c r="AB1915" s="1">
        <v>34</v>
      </c>
    </row>
    <row r="1916" spans="1:28" x14ac:dyDescent="0.15">
      <c r="A1916" s="1">
        <v>4886</v>
      </c>
      <c r="B1916" s="1" t="s">
        <v>7159</v>
      </c>
      <c r="L1916" s="1" t="s">
        <v>1764</v>
      </c>
      <c r="M1916" s="1" t="s">
        <v>1160</v>
      </c>
      <c r="N1916" s="1" t="s">
        <v>736</v>
      </c>
      <c r="P1916" s="1" t="s">
        <v>738</v>
      </c>
      <c r="Q1916" s="3">
        <v>0</v>
      </c>
      <c r="S1916" s="23" t="s">
        <v>5949</v>
      </c>
      <c r="T1916" s="23" t="s">
        <v>4931</v>
      </c>
      <c r="U1916" s="3">
        <v>34</v>
      </c>
      <c r="W1916" s="45" t="str">
        <f>HYPERLINK("http://ictvonline.org/taxonomy/p/taxonomy-history?taxnode_id=201854929","ICTVonline=201854929")</f>
        <v>ICTVonline=201854929</v>
      </c>
      <c r="AA1916" s="1">
        <v>201850000</v>
      </c>
      <c r="AB1916" s="1">
        <v>34</v>
      </c>
    </row>
    <row r="1917" spans="1:28" x14ac:dyDescent="0.15">
      <c r="A1917" s="1">
        <v>4890</v>
      </c>
      <c r="B1917" s="1" t="s">
        <v>7159</v>
      </c>
      <c r="L1917" s="1" t="s">
        <v>1764</v>
      </c>
      <c r="M1917" s="1" t="s">
        <v>1160</v>
      </c>
      <c r="N1917" s="1" t="s">
        <v>739</v>
      </c>
      <c r="P1917" s="1" t="s">
        <v>1597</v>
      </c>
      <c r="Q1917" s="3">
        <v>1</v>
      </c>
      <c r="S1917" s="23" t="s">
        <v>5949</v>
      </c>
      <c r="T1917" s="23" t="s">
        <v>4931</v>
      </c>
      <c r="U1917" s="3">
        <v>34</v>
      </c>
      <c r="W1917" s="45" t="str">
        <f>HYPERLINK("http://ictvonline.org/taxonomy/p/taxonomy-history?taxnode_id=201854931","ICTVonline=201854931")</f>
        <v>ICTVonline=201854931</v>
      </c>
      <c r="AA1917" s="1">
        <v>201850000</v>
      </c>
      <c r="AB1917" s="1">
        <v>34</v>
      </c>
    </row>
    <row r="1918" spans="1:28" x14ac:dyDescent="0.15">
      <c r="A1918" s="1">
        <v>4892</v>
      </c>
      <c r="B1918" s="1" t="s">
        <v>7159</v>
      </c>
      <c r="L1918" s="1" t="s">
        <v>1764</v>
      </c>
      <c r="M1918" s="1" t="s">
        <v>1160</v>
      </c>
      <c r="N1918" s="1" t="s">
        <v>739</v>
      </c>
      <c r="P1918" s="1" t="s">
        <v>1594</v>
      </c>
      <c r="Q1918" s="3">
        <v>0</v>
      </c>
      <c r="S1918" s="23" t="s">
        <v>5949</v>
      </c>
      <c r="T1918" s="23" t="s">
        <v>4931</v>
      </c>
      <c r="U1918" s="3">
        <v>34</v>
      </c>
      <c r="W1918" s="45" t="str">
        <f>HYPERLINK("http://ictvonline.org/taxonomy/p/taxonomy-history?taxnode_id=201854932","ICTVonline=201854932")</f>
        <v>ICTVonline=201854932</v>
      </c>
      <c r="AA1918" s="1">
        <v>201850000</v>
      </c>
      <c r="AB1918" s="1">
        <v>34</v>
      </c>
    </row>
    <row r="1919" spans="1:28" x14ac:dyDescent="0.15">
      <c r="A1919" s="1">
        <v>4894</v>
      </c>
      <c r="B1919" s="1" t="s">
        <v>7159</v>
      </c>
      <c r="L1919" s="1" t="s">
        <v>1764</v>
      </c>
      <c r="M1919" s="1" t="s">
        <v>1160</v>
      </c>
      <c r="N1919" s="1" t="s">
        <v>739</v>
      </c>
      <c r="P1919" s="1" t="s">
        <v>1904</v>
      </c>
      <c r="Q1919" s="3">
        <v>0</v>
      </c>
      <c r="S1919" s="23" t="s">
        <v>5949</v>
      </c>
      <c r="T1919" s="23" t="s">
        <v>4931</v>
      </c>
      <c r="U1919" s="3">
        <v>34</v>
      </c>
      <c r="W1919" s="45" t="str">
        <f>HYPERLINK("http://ictvonline.org/taxonomy/p/taxonomy-history?taxnode_id=201854933","ICTVonline=201854933")</f>
        <v>ICTVonline=201854933</v>
      </c>
      <c r="AA1919" s="1">
        <v>201850000</v>
      </c>
      <c r="AB1919" s="1">
        <v>34</v>
      </c>
    </row>
    <row r="1920" spans="1:28" x14ac:dyDescent="0.15">
      <c r="A1920" s="1">
        <v>4896</v>
      </c>
      <c r="B1920" s="1" t="s">
        <v>7159</v>
      </c>
      <c r="L1920" s="1" t="s">
        <v>1764</v>
      </c>
      <c r="M1920" s="1" t="s">
        <v>1160</v>
      </c>
      <c r="N1920" s="1" t="s">
        <v>739</v>
      </c>
      <c r="P1920" s="1" t="s">
        <v>1905</v>
      </c>
      <c r="Q1920" s="3">
        <v>0</v>
      </c>
      <c r="S1920" s="23" t="s">
        <v>5949</v>
      </c>
      <c r="T1920" s="23" t="s">
        <v>4931</v>
      </c>
      <c r="U1920" s="3">
        <v>34</v>
      </c>
      <c r="W1920" s="45" t="str">
        <f>HYPERLINK("http://ictvonline.org/taxonomy/p/taxonomy-history?taxnode_id=201854934","ICTVonline=201854934")</f>
        <v>ICTVonline=201854934</v>
      </c>
      <c r="AA1920" s="1">
        <v>201850000</v>
      </c>
      <c r="AB1920" s="1">
        <v>34</v>
      </c>
    </row>
    <row r="1921" spans="1:28" x14ac:dyDescent="0.15">
      <c r="A1921" s="1">
        <v>4898</v>
      </c>
      <c r="B1921" s="1" t="s">
        <v>7159</v>
      </c>
      <c r="L1921" s="1" t="s">
        <v>1764</v>
      </c>
      <c r="M1921" s="1" t="s">
        <v>1160</v>
      </c>
      <c r="N1921" s="1" t="s">
        <v>739</v>
      </c>
      <c r="P1921" s="1" t="s">
        <v>1906</v>
      </c>
      <c r="Q1921" s="3">
        <v>0</v>
      </c>
      <c r="S1921" s="23" t="s">
        <v>5949</v>
      </c>
      <c r="T1921" s="23" t="s">
        <v>4931</v>
      </c>
      <c r="U1921" s="3">
        <v>34</v>
      </c>
      <c r="W1921" s="45" t="str">
        <f>HYPERLINK("http://ictvonline.org/taxonomy/p/taxonomy-history?taxnode_id=201854935","ICTVonline=201854935")</f>
        <v>ICTVonline=201854935</v>
      </c>
      <c r="AA1921" s="1">
        <v>201850000</v>
      </c>
      <c r="AB1921" s="1">
        <v>34</v>
      </c>
    </row>
    <row r="1922" spans="1:28" x14ac:dyDescent="0.15">
      <c r="A1922" s="1">
        <v>4900</v>
      </c>
      <c r="B1922" s="1" t="s">
        <v>7159</v>
      </c>
      <c r="L1922" s="1" t="s">
        <v>1764</v>
      </c>
      <c r="M1922" s="1" t="s">
        <v>1160</v>
      </c>
      <c r="N1922" s="1" t="s">
        <v>739</v>
      </c>
      <c r="P1922" s="1" t="s">
        <v>1907</v>
      </c>
      <c r="Q1922" s="3">
        <v>0</v>
      </c>
      <c r="S1922" s="23" t="s">
        <v>5949</v>
      </c>
      <c r="T1922" s="23" t="s">
        <v>4931</v>
      </c>
      <c r="U1922" s="3">
        <v>34</v>
      </c>
      <c r="W1922" s="45" t="str">
        <f>HYPERLINK("http://ictvonline.org/taxonomy/p/taxonomy-history?taxnode_id=201854936","ICTVonline=201854936")</f>
        <v>ICTVonline=201854936</v>
      </c>
      <c r="AA1922" s="1">
        <v>201850000</v>
      </c>
      <c r="AB1922" s="1">
        <v>34</v>
      </c>
    </row>
    <row r="1923" spans="1:28" x14ac:dyDescent="0.15">
      <c r="A1923" s="1">
        <v>4902</v>
      </c>
      <c r="B1923" s="1" t="s">
        <v>7159</v>
      </c>
      <c r="L1923" s="1" t="s">
        <v>1764</v>
      </c>
      <c r="M1923" s="1" t="s">
        <v>1160</v>
      </c>
      <c r="N1923" s="1" t="s">
        <v>739</v>
      </c>
      <c r="P1923" s="1" t="s">
        <v>1908</v>
      </c>
      <c r="Q1923" s="3">
        <v>0</v>
      </c>
      <c r="S1923" s="23" t="s">
        <v>5949</v>
      </c>
      <c r="T1923" s="23" t="s">
        <v>4931</v>
      </c>
      <c r="U1923" s="3">
        <v>34</v>
      </c>
      <c r="W1923" s="45" t="str">
        <f>HYPERLINK("http://ictvonline.org/taxonomy/p/taxonomy-history?taxnode_id=201854937","ICTVonline=201854937")</f>
        <v>ICTVonline=201854937</v>
      </c>
      <c r="AA1923" s="1">
        <v>201850000</v>
      </c>
      <c r="AB1923" s="1">
        <v>34</v>
      </c>
    </row>
    <row r="1924" spans="1:28" x14ac:dyDescent="0.15">
      <c r="A1924" s="1">
        <v>4904</v>
      </c>
      <c r="B1924" s="1" t="s">
        <v>7159</v>
      </c>
      <c r="L1924" s="1" t="s">
        <v>1764</v>
      </c>
      <c r="M1924" s="1" t="s">
        <v>1160</v>
      </c>
      <c r="N1924" s="1" t="s">
        <v>739</v>
      </c>
      <c r="P1924" s="1" t="s">
        <v>1598</v>
      </c>
      <c r="Q1924" s="3">
        <v>0</v>
      </c>
      <c r="S1924" s="23" t="s">
        <v>5949</v>
      </c>
      <c r="T1924" s="23" t="s">
        <v>4931</v>
      </c>
      <c r="U1924" s="3">
        <v>34</v>
      </c>
      <c r="W1924" s="45" t="str">
        <f>HYPERLINK("http://ictvonline.org/taxonomy/p/taxonomy-history?taxnode_id=201854938","ICTVonline=201854938")</f>
        <v>ICTVonline=201854938</v>
      </c>
      <c r="AA1924" s="1">
        <v>201850000</v>
      </c>
      <c r="AB1924" s="1">
        <v>34</v>
      </c>
    </row>
    <row r="1925" spans="1:28" x14ac:dyDescent="0.15">
      <c r="A1925" s="1">
        <v>4906</v>
      </c>
      <c r="B1925" s="1" t="s">
        <v>7159</v>
      </c>
      <c r="L1925" s="1" t="s">
        <v>1764</v>
      </c>
      <c r="M1925" s="1" t="s">
        <v>1160</v>
      </c>
      <c r="N1925" s="1" t="s">
        <v>739</v>
      </c>
      <c r="P1925" s="1" t="s">
        <v>1599</v>
      </c>
      <c r="Q1925" s="3">
        <v>0</v>
      </c>
      <c r="S1925" s="23" t="s">
        <v>5949</v>
      </c>
      <c r="T1925" s="23" t="s">
        <v>4931</v>
      </c>
      <c r="U1925" s="3">
        <v>34</v>
      </c>
      <c r="W1925" s="45" t="str">
        <f>HYPERLINK("http://ictvonline.org/taxonomy/p/taxonomy-history?taxnode_id=201854939","ICTVonline=201854939")</f>
        <v>ICTVonline=201854939</v>
      </c>
      <c r="AA1925" s="1">
        <v>201850000</v>
      </c>
      <c r="AB1925" s="1">
        <v>34</v>
      </c>
    </row>
    <row r="1926" spans="1:28" x14ac:dyDescent="0.15">
      <c r="A1926" s="1">
        <v>4908</v>
      </c>
      <c r="B1926" s="1" t="s">
        <v>7159</v>
      </c>
      <c r="L1926" s="1" t="s">
        <v>1764</v>
      </c>
      <c r="M1926" s="1" t="s">
        <v>1160</v>
      </c>
      <c r="N1926" s="1" t="s">
        <v>739</v>
      </c>
      <c r="P1926" s="1" t="s">
        <v>1823</v>
      </c>
      <c r="Q1926" s="3">
        <v>0</v>
      </c>
      <c r="S1926" s="23" t="s">
        <v>5949</v>
      </c>
      <c r="T1926" s="23" t="s">
        <v>4931</v>
      </c>
      <c r="U1926" s="3">
        <v>34</v>
      </c>
      <c r="W1926" s="45" t="str">
        <f>HYPERLINK("http://ictvonline.org/taxonomy/p/taxonomy-history?taxnode_id=201854940","ICTVonline=201854940")</f>
        <v>ICTVonline=201854940</v>
      </c>
      <c r="AA1926" s="1">
        <v>201850000</v>
      </c>
      <c r="AB1926" s="1">
        <v>34</v>
      </c>
    </row>
    <row r="1927" spans="1:28" x14ac:dyDescent="0.15">
      <c r="A1927" s="1">
        <v>4910</v>
      </c>
      <c r="B1927" s="1" t="s">
        <v>7159</v>
      </c>
      <c r="L1927" s="1" t="s">
        <v>1764</v>
      </c>
      <c r="M1927" s="1" t="s">
        <v>1160</v>
      </c>
      <c r="N1927" s="1" t="s">
        <v>739</v>
      </c>
      <c r="P1927" s="1" t="s">
        <v>1824</v>
      </c>
      <c r="Q1927" s="3">
        <v>0</v>
      </c>
      <c r="S1927" s="23" t="s">
        <v>5949</v>
      </c>
      <c r="T1927" s="23" t="s">
        <v>4931</v>
      </c>
      <c r="U1927" s="3">
        <v>34</v>
      </c>
      <c r="W1927" s="45" t="str">
        <f>HYPERLINK("http://ictvonline.org/taxonomy/p/taxonomy-history?taxnode_id=201854941","ICTVonline=201854941")</f>
        <v>ICTVonline=201854941</v>
      </c>
      <c r="AA1927" s="1">
        <v>201850000</v>
      </c>
      <c r="AB1927" s="1">
        <v>34</v>
      </c>
    </row>
    <row r="1928" spans="1:28" x14ac:dyDescent="0.15">
      <c r="A1928" s="1">
        <v>4912</v>
      </c>
      <c r="B1928" s="1" t="s">
        <v>7159</v>
      </c>
      <c r="L1928" s="1" t="s">
        <v>1764</v>
      </c>
      <c r="M1928" s="1" t="s">
        <v>1160</v>
      </c>
      <c r="N1928" s="1" t="s">
        <v>739</v>
      </c>
      <c r="P1928" s="1" t="s">
        <v>1825</v>
      </c>
      <c r="Q1928" s="3">
        <v>0</v>
      </c>
      <c r="S1928" s="23" t="s">
        <v>5949</v>
      </c>
      <c r="T1928" s="23" t="s">
        <v>4931</v>
      </c>
      <c r="U1928" s="3">
        <v>34</v>
      </c>
      <c r="W1928" s="45" t="str">
        <f>HYPERLINK("http://ictvonline.org/taxonomy/p/taxonomy-history?taxnode_id=201854942","ICTVonline=201854942")</f>
        <v>ICTVonline=201854942</v>
      </c>
      <c r="AA1928" s="1">
        <v>201850000</v>
      </c>
      <c r="AB1928" s="1">
        <v>34</v>
      </c>
    </row>
    <row r="1929" spans="1:28" x14ac:dyDescent="0.15">
      <c r="A1929" s="1">
        <v>4914</v>
      </c>
      <c r="B1929" s="1" t="s">
        <v>7159</v>
      </c>
      <c r="L1929" s="1" t="s">
        <v>1764</v>
      </c>
      <c r="M1929" s="1" t="s">
        <v>1160</v>
      </c>
      <c r="N1929" s="1" t="s">
        <v>739</v>
      </c>
      <c r="P1929" s="1" t="s">
        <v>1590</v>
      </c>
      <c r="Q1929" s="3">
        <v>0</v>
      </c>
      <c r="S1929" s="23" t="s">
        <v>5949</v>
      </c>
      <c r="T1929" s="23" t="s">
        <v>4931</v>
      </c>
      <c r="U1929" s="3">
        <v>34</v>
      </c>
      <c r="W1929" s="45" t="str">
        <f>HYPERLINK("http://ictvonline.org/taxonomy/p/taxonomy-history?taxnode_id=201854943","ICTVonline=201854943")</f>
        <v>ICTVonline=201854943</v>
      </c>
      <c r="AA1929" s="1">
        <v>201850000</v>
      </c>
      <c r="AB1929" s="1">
        <v>34</v>
      </c>
    </row>
    <row r="1930" spans="1:28" x14ac:dyDescent="0.15">
      <c r="A1930" s="1">
        <v>4916</v>
      </c>
      <c r="B1930" s="1" t="s">
        <v>7159</v>
      </c>
      <c r="L1930" s="1" t="s">
        <v>1764</v>
      </c>
      <c r="M1930" s="1" t="s">
        <v>1160</v>
      </c>
      <c r="N1930" s="1" t="s">
        <v>739</v>
      </c>
      <c r="P1930" s="1" t="s">
        <v>1591</v>
      </c>
      <c r="Q1930" s="3">
        <v>0</v>
      </c>
      <c r="S1930" s="23" t="s">
        <v>5949</v>
      </c>
      <c r="T1930" s="23" t="s">
        <v>4931</v>
      </c>
      <c r="U1930" s="3">
        <v>34</v>
      </c>
      <c r="W1930" s="45" t="str">
        <f>HYPERLINK("http://ictvonline.org/taxonomy/p/taxonomy-history?taxnode_id=201854944","ICTVonline=201854944")</f>
        <v>ICTVonline=201854944</v>
      </c>
      <c r="AA1930" s="1">
        <v>201850000</v>
      </c>
      <c r="AB1930" s="1">
        <v>34</v>
      </c>
    </row>
    <row r="1931" spans="1:28" x14ac:dyDescent="0.15">
      <c r="A1931" s="1">
        <v>4918</v>
      </c>
      <c r="B1931" s="1" t="s">
        <v>7159</v>
      </c>
      <c r="L1931" s="1" t="s">
        <v>1764</v>
      </c>
      <c r="M1931" s="1" t="s">
        <v>1160</v>
      </c>
      <c r="N1931" s="1" t="s">
        <v>739</v>
      </c>
      <c r="P1931" s="1" t="s">
        <v>1592</v>
      </c>
      <c r="Q1931" s="3">
        <v>0</v>
      </c>
      <c r="S1931" s="23" t="s">
        <v>5949</v>
      </c>
      <c r="T1931" s="23" t="s">
        <v>4931</v>
      </c>
      <c r="U1931" s="3">
        <v>34</v>
      </c>
      <c r="W1931" s="45" t="str">
        <f>HYPERLINK("http://ictvonline.org/taxonomy/p/taxonomy-history?taxnode_id=201854945","ICTVonline=201854945")</f>
        <v>ICTVonline=201854945</v>
      </c>
      <c r="AA1931" s="1">
        <v>201850000</v>
      </c>
      <c r="AB1931" s="1">
        <v>34</v>
      </c>
    </row>
    <row r="1932" spans="1:28" x14ac:dyDescent="0.15">
      <c r="A1932" s="1">
        <v>4920</v>
      </c>
      <c r="B1932" s="1" t="s">
        <v>7159</v>
      </c>
      <c r="L1932" s="1" t="s">
        <v>1764</v>
      </c>
      <c r="M1932" s="1" t="s">
        <v>1160</v>
      </c>
      <c r="N1932" s="1" t="s">
        <v>739</v>
      </c>
      <c r="P1932" s="1" t="s">
        <v>1593</v>
      </c>
      <c r="Q1932" s="3">
        <v>0</v>
      </c>
      <c r="S1932" s="23" t="s">
        <v>5949</v>
      </c>
      <c r="T1932" s="23" t="s">
        <v>4931</v>
      </c>
      <c r="U1932" s="3">
        <v>34</v>
      </c>
      <c r="W1932" s="45" t="str">
        <f>HYPERLINK("http://ictvonline.org/taxonomy/p/taxonomy-history?taxnode_id=201854946","ICTVonline=201854946")</f>
        <v>ICTVonline=201854946</v>
      </c>
      <c r="AA1932" s="1">
        <v>201850000</v>
      </c>
      <c r="AB1932" s="1">
        <v>34</v>
      </c>
    </row>
    <row r="1933" spans="1:28" x14ac:dyDescent="0.15">
      <c r="A1933" s="1">
        <v>4924</v>
      </c>
      <c r="B1933" s="1" t="s">
        <v>7159</v>
      </c>
      <c r="L1933" s="1" t="s">
        <v>1764</v>
      </c>
      <c r="M1933" s="1" t="s">
        <v>1160</v>
      </c>
      <c r="N1933" s="1" t="s">
        <v>1600</v>
      </c>
      <c r="P1933" s="1" t="s">
        <v>1827</v>
      </c>
      <c r="Q1933" s="3">
        <v>1</v>
      </c>
      <c r="S1933" s="23" t="s">
        <v>5949</v>
      </c>
      <c r="T1933" s="23" t="s">
        <v>4931</v>
      </c>
      <c r="U1933" s="3">
        <v>34</v>
      </c>
      <c r="W1933" s="45" t="str">
        <f>HYPERLINK("http://ictvonline.org/taxonomy/p/taxonomy-history?taxnode_id=201854948","ICTVonline=201854948")</f>
        <v>ICTVonline=201854948</v>
      </c>
      <c r="AA1933" s="1">
        <v>201850000</v>
      </c>
      <c r="AB1933" s="1">
        <v>34</v>
      </c>
    </row>
    <row r="1934" spans="1:28" x14ac:dyDescent="0.15">
      <c r="A1934" s="1">
        <v>4928</v>
      </c>
      <c r="B1934" s="1" t="s">
        <v>7159</v>
      </c>
      <c r="L1934" s="1" t="s">
        <v>1764</v>
      </c>
      <c r="M1934" s="1" t="s">
        <v>1160</v>
      </c>
      <c r="N1934" s="1" t="s">
        <v>1828</v>
      </c>
      <c r="P1934" s="1" t="s">
        <v>1829</v>
      </c>
      <c r="Q1934" s="3">
        <v>1</v>
      </c>
      <c r="S1934" s="23" t="s">
        <v>5949</v>
      </c>
      <c r="T1934" s="23" t="s">
        <v>4931</v>
      </c>
      <c r="U1934" s="3">
        <v>34</v>
      </c>
      <c r="W1934" s="45" t="str">
        <f>HYPERLINK("http://ictvonline.org/taxonomy/p/taxonomy-history?taxnode_id=201854950","ICTVonline=201854950")</f>
        <v>ICTVonline=201854950</v>
      </c>
      <c r="AA1934" s="1">
        <v>201850000</v>
      </c>
      <c r="AB1934" s="1">
        <v>34</v>
      </c>
    </row>
    <row r="1935" spans="1:28" x14ac:dyDescent="0.15">
      <c r="A1935" s="1">
        <v>4930</v>
      </c>
      <c r="B1935" s="1" t="s">
        <v>7159</v>
      </c>
      <c r="L1935" s="1" t="s">
        <v>1764</v>
      </c>
      <c r="M1935" s="1" t="s">
        <v>1160</v>
      </c>
      <c r="N1935" s="1" t="s">
        <v>1828</v>
      </c>
      <c r="P1935" s="1" t="s">
        <v>1830</v>
      </c>
      <c r="Q1935" s="3">
        <v>0</v>
      </c>
      <c r="S1935" s="23" t="s">
        <v>5949</v>
      </c>
      <c r="T1935" s="23" t="s">
        <v>4931</v>
      </c>
      <c r="U1935" s="3">
        <v>34</v>
      </c>
      <c r="W1935" s="45" t="str">
        <f>HYPERLINK("http://ictvonline.org/taxonomy/p/taxonomy-history?taxnode_id=201854951","ICTVonline=201854951")</f>
        <v>ICTVonline=201854951</v>
      </c>
      <c r="AA1935" s="1">
        <v>201850000</v>
      </c>
      <c r="AB1935" s="1">
        <v>34</v>
      </c>
    </row>
    <row r="1936" spans="1:28" x14ac:dyDescent="0.15">
      <c r="A1936" s="1">
        <v>4932</v>
      </c>
      <c r="B1936" s="1" t="s">
        <v>7159</v>
      </c>
      <c r="L1936" s="1" t="s">
        <v>1764</v>
      </c>
      <c r="M1936" s="1" t="s">
        <v>1160</v>
      </c>
      <c r="N1936" s="1" t="s">
        <v>1828</v>
      </c>
      <c r="P1936" s="1" t="s">
        <v>1605</v>
      </c>
      <c r="Q1936" s="3">
        <v>0</v>
      </c>
      <c r="S1936" s="23" t="s">
        <v>5949</v>
      </c>
      <c r="T1936" s="23" t="s">
        <v>4931</v>
      </c>
      <c r="U1936" s="3">
        <v>34</v>
      </c>
      <c r="W1936" s="45" t="str">
        <f>HYPERLINK("http://ictvonline.org/taxonomy/p/taxonomy-history?taxnode_id=201854952","ICTVonline=201854952")</f>
        <v>ICTVonline=201854952</v>
      </c>
      <c r="AA1936" s="1">
        <v>201850000</v>
      </c>
      <c r="AB1936" s="1">
        <v>34</v>
      </c>
    </row>
    <row r="1937" spans="1:28" x14ac:dyDescent="0.15">
      <c r="A1937" s="1">
        <v>4934</v>
      </c>
      <c r="B1937" s="1" t="s">
        <v>7159</v>
      </c>
      <c r="L1937" s="1" t="s">
        <v>1764</v>
      </c>
      <c r="M1937" s="1" t="s">
        <v>1160</v>
      </c>
      <c r="N1937" s="1" t="s">
        <v>1828</v>
      </c>
      <c r="P1937" s="1" t="s">
        <v>1606</v>
      </c>
      <c r="Q1937" s="3">
        <v>0</v>
      </c>
      <c r="S1937" s="23" t="s">
        <v>5949</v>
      </c>
      <c r="T1937" s="23" t="s">
        <v>4931</v>
      </c>
      <c r="U1937" s="3">
        <v>34</v>
      </c>
      <c r="W1937" s="45" t="str">
        <f>HYPERLINK("http://ictvonline.org/taxonomy/p/taxonomy-history?taxnode_id=201854953","ICTVonline=201854953")</f>
        <v>ICTVonline=201854953</v>
      </c>
      <c r="AA1937" s="1">
        <v>201850000</v>
      </c>
      <c r="AB1937" s="1">
        <v>34</v>
      </c>
    </row>
    <row r="1938" spans="1:28" x14ac:dyDescent="0.15">
      <c r="A1938" s="1">
        <v>4936</v>
      </c>
      <c r="B1938" s="1" t="s">
        <v>7159</v>
      </c>
      <c r="L1938" s="1" t="s">
        <v>1764</v>
      </c>
      <c r="M1938" s="1" t="s">
        <v>1160</v>
      </c>
      <c r="N1938" s="1" t="s">
        <v>1828</v>
      </c>
      <c r="P1938" s="1" t="s">
        <v>1607</v>
      </c>
      <c r="Q1938" s="3">
        <v>0</v>
      </c>
      <c r="S1938" s="23" t="s">
        <v>5949</v>
      </c>
      <c r="T1938" s="23" t="s">
        <v>4931</v>
      </c>
      <c r="U1938" s="3">
        <v>34</v>
      </c>
      <c r="W1938" s="45" t="str">
        <f>HYPERLINK("http://ictvonline.org/taxonomy/p/taxonomy-history?taxnode_id=201854954","ICTVonline=201854954")</f>
        <v>ICTVonline=201854954</v>
      </c>
      <c r="AA1938" s="1">
        <v>201850000</v>
      </c>
      <c r="AB1938" s="1">
        <v>34</v>
      </c>
    </row>
    <row r="1939" spans="1:28" x14ac:dyDescent="0.15">
      <c r="A1939" s="1">
        <v>4938</v>
      </c>
      <c r="B1939" s="1" t="s">
        <v>7159</v>
      </c>
      <c r="L1939" s="1" t="s">
        <v>1764</v>
      </c>
      <c r="M1939" s="1" t="s">
        <v>1160</v>
      </c>
      <c r="N1939" s="1" t="s">
        <v>1828</v>
      </c>
      <c r="P1939" s="1" t="s">
        <v>1519</v>
      </c>
      <c r="Q1939" s="3">
        <v>0</v>
      </c>
      <c r="S1939" s="23" t="s">
        <v>5949</v>
      </c>
      <c r="T1939" s="23" t="s">
        <v>4931</v>
      </c>
      <c r="U1939" s="3">
        <v>34</v>
      </c>
      <c r="W1939" s="45" t="str">
        <f>HYPERLINK("http://ictvonline.org/taxonomy/p/taxonomy-history?taxnode_id=201854955","ICTVonline=201854955")</f>
        <v>ICTVonline=201854955</v>
      </c>
      <c r="AA1939" s="1">
        <v>201850000</v>
      </c>
      <c r="AB1939" s="1">
        <v>34</v>
      </c>
    </row>
    <row r="1940" spans="1:28" x14ac:dyDescent="0.15">
      <c r="A1940" s="1">
        <v>4940</v>
      </c>
      <c r="B1940" s="1" t="s">
        <v>7159</v>
      </c>
      <c r="L1940" s="1" t="s">
        <v>1764</v>
      </c>
      <c r="M1940" s="1" t="s">
        <v>1160</v>
      </c>
      <c r="N1940" s="1" t="s">
        <v>1828</v>
      </c>
      <c r="P1940" s="1" t="s">
        <v>1520</v>
      </c>
      <c r="Q1940" s="3">
        <v>0</v>
      </c>
      <c r="S1940" s="23" t="s">
        <v>5949</v>
      </c>
      <c r="T1940" s="23" t="s">
        <v>4931</v>
      </c>
      <c r="U1940" s="3">
        <v>34</v>
      </c>
      <c r="W1940" s="45" t="str">
        <f>HYPERLINK("http://ictvonline.org/taxonomy/p/taxonomy-history?taxnode_id=201854956","ICTVonline=201854956")</f>
        <v>ICTVonline=201854956</v>
      </c>
      <c r="AA1940" s="1">
        <v>201850000</v>
      </c>
      <c r="AB1940" s="1">
        <v>34</v>
      </c>
    </row>
    <row r="1941" spans="1:28" x14ac:dyDescent="0.15">
      <c r="A1941" s="1">
        <v>4942</v>
      </c>
      <c r="B1941" s="1" t="s">
        <v>7159</v>
      </c>
      <c r="L1941" s="1" t="s">
        <v>1764</v>
      </c>
      <c r="M1941" s="1" t="s">
        <v>1160</v>
      </c>
      <c r="N1941" s="1" t="s">
        <v>1828</v>
      </c>
      <c r="P1941" s="1" t="s">
        <v>1608</v>
      </c>
      <c r="Q1941" s="3">
        <v>0</v>
      </c>
      <c r="S1941" s="23" t="s">
        <v>5949</v>
      </c>
      <c r="T1941" s="23" t="s">
        <v>4931</v>
      </c>
      <c r="U1941" s="3">
        <v>34</v>
      </c>
      <c r="W1941" s="45" t="str">
        <f>HYPERLINK("http://ictvonline.org/taxonomy/p/taxonomy-history?taxnode_id=201854957","ICTVonline=201854957")</f>
        <v>ICTVonline=201854957</v>
      </c>
      <c r="AA1941" s="1">
        <v>201850000</v>
      </c>
      <c r="AB1941" s="1">
        <v>34</v>
      </c>
    </row>
    <row r="1942" spans="1:28" x14ac:dyDescent="0.15">
      <c r="A1942" s="1">
        <v>4944</v>
      </c>
      <c r="B1942" s="1" t="s">
        <v>7159</v>
      </c>
      <c r="L1942" s="1" t="s">
        <v>1764</v>
      </c>
      <c r="M1942" s="1" t="s">
        <v>1160</v>
      </c>
      <c r="N1942" s="1" t="s">
        <v>1828</v>
      </c>
      <c r="P1942" s="1" t="s">
        <v>4006</v>
      </c>
      <c r="Q1942" s="3">
        <v>0</v>
      </c>
      <c r="S1942" s="23" t="s">
        <v>5949</v>
      </c>
      <c r="T1942" s="23" t="s">
        <v>4931</v>
      </c>
      <c r="U1942" s="3">
        <v>34</v>
      </c>
      <c r="W1942" s="45" t="str">
        <f>HYPERLINK("http://ictvonline.org/taxonomy/p/taxonomy-history?taxnode_id=201854958","ICTVonline=201854958")</f>
        <v>ICTVonline=201854958</v>
      </c>
      <c r="AA1942" s="1">
        <v>201850000</v>
      </c>
      <c r="AB1942" s="1">
        <v>34</v>
      </c>
    </row>
    <row r="1943" spans="1:28" x14ac:dyDescent="0.15">
      <c r="A1943" s="1">
        <v>4948</v>
      </c>
      <c r="B1943" s="1" t="s">
        <v>7159</v>
      </c>
      <c r="L1943" s="1" t="s">
        <v>1764</v>
      </c>
      <c r="M1943" s="1" t="s">
        <v>1160</v>
      </c>
      <c r="N1943" s="1" t="s">
        <v>1609</v>
      </c>
      <c r="P1943" s="1" t="s">
        <v>1363</v>
      </c>
      <c r="Q1943" s="3">
        <v>1</v>
      </c>
      <c r="S1943" s="23" t="s">
        <v>5949</v>
      </c>
      <c r="T1943" s="23" t="s">
        <v>4931</v>
      </c>
      <c r="U1943" s="3">
        <v>34</v>
      </c>
      <c r="W1943" s="45" t="str">
        <f>HYPERLINK("http://ictvonline.org/taxonomy/p/taxonomy-history?taxnode_id=201854960","ICTVonline=201854960")</f>
        <v>ICTVonline=201854960</v>
      </c>
      <c r="AA1943" s="1">
        <v>201850000</v>
      </c>
      <c r="AB1943" s="1">
        <v>34</v>
      </c>
    </row>
    <row r="1944" spans="1:28" x14ac:dyDescent="0.15">
      <c r="A1944" s="1">
        <v>4950</v>
      </c>
      <c r="B1944" s="1" t="s">
        <v>7159</v>
      </c>
      <c r="L1944" s="1" t="s">
        <v>1764</v>
      </c>
      <c r="M1944" s="1" t="s">
        <v>1160</v>
      </c>
      <c r="N1944" s="1" t="s">
        <v>1609</v>
      </c>
      <c r="P1944" s="1" t="s">
        <v>1364</v>
      </c>
      <c r="Q1944" s="3">
        <v>0</v>
      </c>
      <c r="S1944" s="23" t="s">
        <v>5949</v>
      </c>
      <c r="T1944" s="23" t="s">
        <v>4931</v>
      </c>
      <c r="U1944" s="3">
        <v>34</v>
      </c>
      <c r="W1944" s="45" t="str">
        <f>HYPERLINK("http://ictvonline.org/taxonomy/p/taxonomy-history?taxnode_id=201854961","ICTVonline=201854961")</f>
        <v>ICTVonline=201854961</v>
      </c>
      <c r="AA1944" s="1">
        <v>201850000</v>
      </c>
      <c r="AB1944" s="1">
        <v>34</v>
      </c>
    </row>
    <row r="1945" spans="1:28" x14ac:dyDescent="0.15">
      <c r="A1945" s="1">
        <v>4952</v>
      </c>
      <c r="B1945" s="1" t="s">
        <v>7159</v>
      </c>
      <c r="L1945" s="1" t="s">
        <v>1764</v>
      </c>
      <c r="M1945" s="1" t="s">
        <v>1160</v>
      </c>
      <c r="N1945" s="1" t="s">
        <v>1609</v>
      </c>
      <c r="P1945" s="1" t="s">
        <v>1365</v>
      </c>
      <c r="Q1945" s="3">
        <v>0</v>
      </c>
      <c r="S1945" s="23" t="s">
        <v>5949</v>
      </c>
      <c r="T1945" s="23" t="s">
        <v>4931</v>
      </c>
      <c r="U1945" s="3">
        <v>34</v>
      </c>
      <c r="W1945" s="45" t="str">
        <f>HYPERLINK("http://ictvonline.org/taxonomy/p/taxonomy-history?taxnode_id=201854962","ICTVonline=201854962")</f>
        <v>ICTVonline=201854962</v>
      </c>
      <c r="AA1945" s="1">
        <v>201850000</v>
      </c>
      <c r="AB1945" s="1">
        <v>34</v>
      </c>
    </row>
    <row r="1946" spans="1:28" x14ac:dyDescent="0.15">
      <c r="A1946" s="1">
        <v>4954</v>
      </c>
      <c r="B1946" s="1" t="s">
        <v>7159</v>
      </c>
      <c r="L1946" s="1" t="s">
        <v>1764</v>
      </c>
      <c r="M1946" s="1" t="s">
        <v>1160</v>
      </c>
      <c r="N1946" s="1" t="s">
        <v>1609</v>
      </c>
      <c r="P1946" s="1" t="s">
        <v>1366</v>
      </c>
      <c r="Q1946" s="3">
        <v>0</v>
      </c>
      <c r="S1946" s="23" t="s">
        <v>5949</v>
      </c>
      <c r="T1946" s="23" t="s">
        <v>4931</v>
      </c>
      <c r="U1946" s="3">
        <v>34</v>
      </c>
      <c r="W1946" s="45" t="str">
        <f>HYPERLINK("http://ictvonline.org/taxonomy/p/taxonomy-history?taxnode_id=201854963","ICTVonline=201854963")</f>
        <v>ICTVonline=201854963</v>
      </c>
      <c r="AA1946" s="1">
        <v>201850000</v>
      </c>
      <c r="AB1946" s="1">
        <v>34</v>
      </c>
    </row>
    <row r="1947" spans="1:28" x14ac:dyDescent="0.15">
      <c r="A1947" s="1">
        <v>4956</v>
      </c>
      <c r="B1947" s="1" t="s">
        <v>7159</v>
      </c>
      <c r="L1947" s="1" t="s">
        <v>1764</v>
      </c>
      <c r="M1947" s="1" t="s">
        <v>1160</v>
      </c>
      <c r="N1947" s="1" t="s">
        <v>1609</v>
      </c>
      <c r="P1947" s="1" t="s">
        <v>1367</v>
      </c>
      <c r="Q1947" s="3">
        <v>0</v>
      </c>
      <c r="S1947" s="23" t="s">
        <v>5949</v>
      </c>
      <c r="T1947" s="23" t="s">
        <v>4931</v>
      </c>
      <c r="U1947" s="3">
        <v>34</v>
      </c>
      <c r="W1947" s="45" t="str">
        <f>HYPERLINK("http://ictvonline.org/taxonomy/p/taxonomy-history?taxnode_id=201854964","ICTVonline=201854964")</f>
        <v>ICTVonline=201854964</v>
      </c>
      <c r="AA1947" s="1">
        <v>201850000</v>
      </c>
      <c r="AB1947" s="1">
        <v>34</v>
      </c>
    </row>
    <row r="1948" spans="1:28" x14ac:dyDescent="0.15">
      <c r="A1948" s="1">
        <v>4960</v>
      </c>
      <c r="B1948" s="1" t="s">
        <v>7159</v>
      </c>
      <c r="L1948" s="1" t="s">
        <v>1764</v>
      </c>
      <c r="M1948" s="1" t="s">
        <v>1160</v>
      </c>
      <c r="N1948" s="1" t="s">
        <v>1923</v>
      </c>
      <c r="P1948" s="1" t="s">
        <v>1924</v>
      </c>
      <c r="Q1948" s="3">
        <v>1</v>
      </c>
      <c r="S1948" s="23" t="s">
        <v>5949</v>
      </c>
      <c r="T1948" s="23" t="s">
        <v>4931</v>
      </c>
      <c r="U1948" s="3">
        <v>34</v>
      </c>
      <c r="W1948" s="45" t="str">
        <f>HYPERLINK("http://ictvonline.org/taxonomy/p/taxonomy-history?taxnode_id=201854966","ICTVonline=201854966")</f>
        <v>ICTVonline=201854966</v>
      </c>
      <c r="AA1948" s="1">
        <v>201850000</v>
      </c>
      <c r="AB1948" s="1">
        <v>34</v>
      </c>
    </row>
    <row r="1949" spans="1:28" x14ac:dyDescent="0.15">
      <c r="A1949" s="1">
        <v>4962</v>
      </c>
      <c r="B1949" s="1" t="s">
        <v>7159</v>
      </c>
      <c r="L1949" s="1" t="s">
        <v>1764</v>
      </c>
      <c r="M1949" s="1" t="s">
        <v>1160</v>
      </c>
      <c r="N1949" s="1" t="s">
        <v>1923</v>
      </c>
      <c r="P1949" s="1" t="s">
        <v>1925</v>
      </c>
      <c r="Q1949" s="3">
        <v>0</v>
      </c>
      <c r="S1949" s="23" t="s">
        <v>5949</v>
      </c>
      <c r="T1949" s="23" t="s">
        <v>4931</v>
      </c>
      <c r="U1949" s="3">
        <v>34</v>
      </c>
      <c r="W1949" s="45" t="str">
        <f>HYPERLINK("http://ictvonline.org/taxonomy/p/taxonomy-history?taxnode_id=201854967","ICTVonline=201854967")</f>
        <v>ICTVonline=201854967</v>
      </c>
      <c r="AA1949" s="1">
        <v>201850000</v>
      </c>
      <c r="AB1949" s="1">
        <v>34</v>
      </c>
    </row>
    <row r="1950" spans="1:28" x14ac:dyDescent="0.15">
      <c r="A1950" s="1">
        <v>4964</v>
      </c>
      <c r="B1950" s="1" t="s">
        <v>7159</v>
      </c>
      <c r="L1950" s="1" t="s">
        <v>1764</v>
      </c>
      <c r="M1950" s="1" t="s">
        <v>1160</v>
      </c>
      <c r="N1950" s="1" t="s">
        <v>1923</v>
      </c>
      <c r="P1950" s="1" t="s">
        <v>1926</v>
      </c>
      <c r="Q1950" s="3">
        <v>0</v>
      </c>
      <c r="S1950" s="23" t="s">
        <v>5949</v>
      </c>
      <c r="T1950" s="23" t="s">
        <v>4931</v>
      </c>
      <c r="U1950" s="3">
        <v>34</v>
      </c>
      <c r="W1950" s="45" t="str">
        <f>HYPERLINK("http://ictvonline.org/taxonomy/p/taxonomy-history?taxnode_id=201854968","ICTVonline=201854968")</f>
        <v>ICTVonline=201854968</v>
      </c>
      <c r="AA1950" s="1">
        <v>201850000</v>
      </c>
      <c r="AB1950" s="1">
        <v>34</v>
      </c>
    </row>
    <row r="1951" spans="1:28" x14ac:dyDescent="0.15">
      <c r="A1951" s="1">
        <v>4968</v>
      </c>
      <c r="B1951" s="1" t="s">
        <v>7159</v>
      </c>
      <c r="L1951" s="1" t="s">
        <v>1764</v>
      </c>
      <c r="M1951" s="1" t="s">
        <v>1160</v>
      </c>
      <c r="N1951" s="1" t="s">
        <v>1309</v>
      </c>
      <c r="P1951" s="1" t="s">
        <v>1310</v>
      </c>
      <c r="Q1951" s="3">
        <v>0</v>
      </c>
      <c r="S1951" s="23" t="s">
        <v>5949</v>
      </c>
      <c r="T1951" s="23" t="s">
        <v>4931</v>
      </c>
      <c r="U1951" s="3">
        <v>34</v>
      </c>
      <c r="W1951" s="45" t="str">
        <f>HYPERLINK("http://ictvonline.org/taxonomy/p/taxonomy-history?taxnode_id=201854970","ICTVonline=201854970")</f>
        <v>ICTVonline=201854970</v>
      </c>
      <c r="AA1951" s="1">
        <v>201850000</v>
      </c>
      <c r="AB1951" s="1">
        <v>34</v>
      </c>
    </row>
    <row r="1952" spans="1:28" x14ac:dyDescent="0.15">
      <c r="A1952" s="1">
        <v>4970</v>
      </c>
      <c r="B1952" s="1" t="s">
        <v>7159</v>
      </c>
      <c r="L1952" s="1" t="s">
        <v>1764</v>
      </c>
      <c r="M1952" s="1" t="s">
        <v>1160</v>
      </c>
      <c r="N1952" s="1" t="s">
        <v>1309</v>
      </c>
      <c r="P1952" s="1" t="s">
        <v>1311</v>
      </c>
      <c r="Q1952" s="3">
        <v>0</v>
      </c>
      <c r="S1952" s="23" t="s">
        <v>5949</v>
      </c>
      <c r="T1952" s="23" t="s">
        <v>4931</v>
      </c>
      <c r="U1952" s="3">
        <v>34</v>
      </c>
      <c r="W1952" s="45" t="str">
        <f>HYPERLINK("http://ictvonline.org/taxonomy/p/taxonomy-history?taxnode_id=201854971","ICTVonline=201854971")</f>
        <v>ICTVonline=201854971</v>
      </c>
      <c r="AA1952" s="1">
        <v>201850000</v>
      </c>
      <c r="AB1952" s="1">
        <v>34</v>
      </c>
    </row>
    <row r="1953" spans="1:28" x14ac:dyDescent="0.15">
      <c r="A1953" s="1">
        <v>4972</v>
      </c>
      <c r="B1953" s="1" t="s">
        <v>7159</v>
      </c>
      <c r="L1953" s="1" t="s">
        <v>1764</v>
      </c>
      <c r="M1953" s="1" t="s">
        <v>1160</v>
      </c>
      <c r="N1953" s="1" t="s">
        <v>1309</v>
      </c>
      <c r="P1953" s="1" t="s">
        <v>5540</v>
      </c>
      <c r="Q1953" s="3">
        <v>0</v>
      </c>
      <c r="S1953" s="23" t="s">
        <v>5949</v>
      </c>
      <c r="T1953" s="23" t="s">
        <v>4931</v>
      </c>
      <c r="U1953" s="3">
        <v>34</v>
      </c>
      <c r="W1953" s="45" t="str">
        <f>HYPERLINK("http://ictvonline.org/taxonomy/p/taxonomy-history?taxnode_id=201855927","ICTVonline=201855927")</f>
        <v>ICTVonline=201855927</v>
      </c>
      <c r="AA1953" s="1">
        <v>201850000</v>
      </c>
      <c r="AB1953" s="1">
        <v>34</v>
      </c>
    </row>
    <row r="1954" spans="1:28" x14ac:dyDescent="0.15">
      <c r="A1954" s="1">
        <v>4974</v>
      </c>
      <c r="B1954" s="1" t="s">
        <v>7159</v>
      </c>
      <c r="L1954" s="1" t="s">
        <v>1764</v>
      </c>
      <c r="M1954" s="1" t="s">
        <v>1160</v>
      </c>
      <c r="N1954" s="1" t="s">
        <v>1309</v>
      </c>
      <c r="P1954" s="1" t="s">
        <v>1312</v>
      </c>
      <c r="Q1954" s="3">
        <v>1</v>
      </c>
      <c r="S1954" s="23" t="s">
        <v>5949</v>
      </c>
      <c r="T1954" s="23" t="s">
        <v>4931</v>
      </c>
      <c r="U1954" s="3">
        <v>34</v>
      </c>
      <c r="W1954" s="45" t="str">
        <f>HYPERLINK("http://ictvonline.org/taxonomy/p/taxonomy-history?taxnode_id=201854972","ICTVonline=201854972")</f>
        <v>ICTVonline=201854972</v>
      </c>
      <c r="AA1954" s="1">
        <v>201850000</v>
      </c>
      <c r="AB1954" s="1">
        <v>34</v>
      </c>
    </row>
    <row r="1955" spans="1:28" x14ac:dyDescent="0.15">
      <c r="A1955" s="1">
        <v>4976</v>
      </c>
      <c r="B1955" s="1" t="s">
        <v>7159</v>
      </c>
      <c r="L1955" s="1" t="s">
        <v>1764</v>
      </c>
      <c r="M1955" s="1" t="s">
        <v>1160</v>
      </c>
      <c r="N1955" s="1" t="s">
        <v>1309</v>
      </c>
      <c r="P1955" s="1" t="s">
        <v>1313</v>
      </c>
      <c r="Q1955" s="3">
        <v>0</v>
      </c>
      <c r="S1955" s="23" t="s">
        <v>5949</v>
      </c>
      <c r="T1955" s="23" t="s">
        <v>4931</v>
      </c>
      <c r="U1955" s="3">
        <v>34</v>
      </c>
      <c r="W1955" s="45" t="str">
        <f>HYPERLINK("http://ictvonline.org/taxonomy/p/taxonomy-history?taxnode_id=201854973","ICTVonline=201854973")</f>
        <v>ICTVonline=201854973</v>
      </c>
      <c r="AA1955" s="1">
        <v>201850000</v>
      </c>
      <c r="AB1955" s="1">
        <v>34</v>
      </c>
    </row>
    <row r="1956" spans="1:28" x14ac:dyDescent="0.15">
      <c r="A1956" s="1">
        <v>4978</v>
      </c>
      <c r="B1956" s="1" t="s">
        <v>7159</v>
      </c>
      <c r="L1956" s="1" t="s">
        <v>1764</v>
      </c>
      <c r="M1956" s="1" t="s">
        <v>1160</v>
      </c>
      <c r="N1956" s="1" t="s">
        <v>1309</v>
      </c>
      <c r="P1956" s="1" t="s">
        <v>4007</v>
      </c>
      <c r="Q1956" s="3">
        <v>0</v>
      </c>
      <c r="S1956" s="23" t="s">
        <v>5949</v>
      </c>
      <c r="T1956" s="23" t="s">
        <v>4931</v>
      </c>
      <c r="U1956" s="3">
        <v>34</v>
      </c>
      <c r="W1956" s="45" t="str">
        <f>HYPERLINK("http://ictvonline.org/taxonomy/p/taxonomy-history?taxnode_id=201854974","ICTVonline=201854974")</f>
        <v>ICTVonline=201854974</v>
      </c>
      <c r="AA1956" s="1">
        <v>201850000</v>
      </c>
      <c r="AB1956" s="1">
        <v>34</v>
      </c>
    </row>
    <row r="1957" spans="1:28" x14ac:dyDescent="0.15">
      <c r="A1957" s="1">
        <v>4980</v>
      </c>
      <c r="B1957" s="1" t="s">
        <v>7159</v>
      </c>
      <c r="L1957" s="1" t="s">
        <v>1764</v>
      </c>
      <c r="M1957" s="1" t="s">
        <v>1160</v>
      </c>
      <c r="N1957" s="1" t="s">
        <v>1309</v>
      </c>
      <c r="P1957" s="1" t="s">
        <v>1314</v>
      </c>
      <c r="Q1957" s="3">
        <v>0</v>
      </c>
      <c r="S1957" s="23" t="s">
        <v>5949</v>
      </c>
      <c r="T1957" s="23" t="s">
        <v>4931</v>
      </c>
      <c r="U1957" s="3">
        <v>34</v>
      </c>
      <c r="W1957" s="45" t="str">
        <f>HYPERLINK("http://ictvonline.org/taxonomy/p/taxonomy-history?taxnode_id=201854975","ICTVonline=201854975")</f>
        <v>ICTVonline=201854975</v>
      </c>
      <c r="AA1957" s="1">
        <v>201850000</v>
      </c>
      <c r="AB1957" s="1">
        <v>34</v>
      </c>
    </row>
    <row r="1958" spans="1:28" x14ac:dyDescent="0.15">
      <c r="A1958" s="1">
        <v>4984</v>
      </c>
      <c r="B1958" s="1" t="s">
        <v>7159</v>
      </c>
      <c r="L1958" s="1" t="s">
        <v>1764</v>
      </c>
      <c r="M1958" s="1" t="s">
        <v>1160</v>
      </c>
      <c r="N1958" s="1" t="s">
        <v>1315</v>
      </c>
      <c r="P1958" s="1" t="s">
        <v>1316</v>
      </c>
      <c r="Q1958" s="3">
        <v>0</v>
      </c>
      <c r="S1958" s="23" t="s">
        <v>5949</v>
      </c>
      <c r="T1958" s="23" t="s">
        <v>4931</v>
      </c>
      <c r="U1958" s="3">
        <v>34</v>
      </c>
      <c r="W1958" s="45" t="str">
        <f>HYPERLINK("http://ictvonline.org/taxonomy/p/taxonomy-history?taxnode_id=201854977","ICTVonline=201854977")</f>
        <v>ICTVonline=201854977</v>
      </c>
      <c r="AA1958" s="1">
        <v>201850000</v>
      </c>
      <c r="AB1958" s="1">
        <v>34</v>
      </c>
    </row>
    <row r="1959" spans="1:28" x14ac:dyDescent="0.15">
      <c r="A1959" s="1">
        <v>4986</v>
      </c>
      <c r="B1959" s="1" t="s">
        <v>7159</v>
      </c>
      <c r="L1959" s="1" t="s">
        <v>1764</v>
      </c>
      <c r="M1959" s="1" t="s">
        <v>1160</v>
      </c>
      <c r="N1959" s="1" t="s">
        <v>1315</v>
      </c>
      <c r="P1959" s="1" t="s">
        <v>239</v>
      </c>
      <c r="Q1959" s="3">
        <v>1</v>
      </c>
      <c r="S1959" s="23" t="s">
        <v>5949</v>
      </c>
      <c r="T1959" s="23" t="s">
        <v>4931</v>
      </c>
      <c r="U1959" s="3">
        <v>34</v>
      </c>
      <c r="W1959" s="45" t="str">
        <f>HYPERLINK("http://ictvonline.org/taxonomy/p/taxonomy-history?taxnode_id=201854978","ICTVonline=201854978")</f>
        <v>ICTVonline=201854978</v>
      </c>
      <c r="AA1959" s="1">
        <v>201850000</v>
      </c>
      <c r="AB1959" s="1">
        <v>34</v>
      </c>
    </row>
    <row r="1960" spans="1:28" x14ac:dyDescent="0.15">
      <c r="A1960" s="1">
        <v>4993</v>
      </c>
      <c r="B1960" s="1" t="s">
        <v>7159</v>
      </c>
      <c r="L1960" s="1" t="s">
        <v>4008</v>
      </c>
      <c r="N1960" s="1" t="s">
        <v>4009</v>
      </c>
      <c r="P1960" s="1" t="s">
        <v>4010</v>
      </c>
      <c r="Q1960" s="3">
        <v>1</v>
      </c>
      <c r="S1960" s="23" t="s">
        <v>5949</v>
      </c>
      <c r="T1960" s="23" t="s">
        <v>4931</v>
      </c>
      <c r="U1960" s="3">
        <v>34</v>
      </c>
      <c r="W1960" s="45" t="str">
        <f>HYPERLINK("http://ictvonline.org/taxonomy/p/taxonomy-history?taxnode_id=201855047","ICTVonline=201855047")</f>
        <v>ICTVonline=201855047</v>
      </c>
      <c r="AA1960" s="1">
        <v>201850000</v>
      </c>
      <c r="AB1960" s="1">
        <v>34</v>
      </c>
    </row>
    <row r="1961" spans="1:28" x14ac:dyDescent="0.15">
      <c r="A1961" s="1">
        <v>4999</v>
      </c>
      <c r="B1961" s="1" t="s">
        <v>7159</v>
      </c>
      <c r="L1961" s="1" t="s">
        <v>5590</v>
      </c>
      <c r="N1961" s="1" t="s">
        <v>398</v>
      </c>
      <c r="P1961" s="1" t="s">
        <v>399</v>
      </c>
      <c r="Q1961" s="3">
        <v>1</v>
      </c>
      <c r="S1961" s="23" t="s">
        <v>5949</v>
      </c>
      <c r="T1961" s="23" t="s">
        <v>4931</v>
      </c>
      <c r="U1961" s="3">
        <v>34</v>
      </c>
      <c r="W1961" s="45" t="str">
        <f>HYPERLINK("http://ictvonline.org/taxonomy/p/taxonomy-history?taxnode_id=201855362","ICTVonline=201855362")</f>
        <v>ICTVonline=201855362</v>
      </c>
      <c r="AA1961" s="1">
        <v>201850000</v>
      </c>
      <c r="AB1961" s="1">
        <v>34</v>
      </c>
    </row>
    <row r="1962" spans="1:28" x14ac:dyDescent="0.15">
      <c r="A1962" s="1">
        <v>5003</v>
      </c>
      <c r="B1962" s="1" t="s">
        <v>7159</v>
      </c>
      <c r="L1962" s="1" t="s">
        <v>5590</v>
      </c>
      <c r="N1962" s="1" t="s">
        <v>1009</v>
      </c>
      <c r="P1962" s="1" t="s">
        <v>4033</v>
      </c>
      <c r="Q1962" s="3">
        <v>0</v>
      </c>
      <c r="S1962" s="23" t="s">
        <v>5949</v>
      </c>
      <c r="T1962" s="23" t="s">
        <v>4931</v>
      </c>
      <c r="U1962" s="3">
        <v>34</v>
      </c>
      <c r="W1962" s="45" t="str">
        <f>HYPERLINK("http://ictvonline.org/taxonomy/p/taxonomy-history?taxnode_id=201855371","ICTVonline=201855371")</f>
        <v>ICTVonline=201855371</v>
      </c>
      <c r="AA1962" s="1">
        <v>201850000</v>
      </c>
      <c r="AB1962" s="1">
        <v>34</v>
      </c>
    </row>
    <row r="1963" spans="1:28" x14ac:dyDescent="0.15">
      <c r="A1963" s="1">
        <v>5005</v>
      </c>
      <c r="B1963" s="1" t="s">
        <v>7159</v>
      </c>
      <c r="L1963" s="1" t="s">
        <v>5590</v>
      </c>
      <c r="N1963" s="1" t="s">
        <v>1009</v>
      </c>
      <c r="P1963" s="1" t="s">
        <v>1010</v>
      </c>
      <c r="Q1963" s="3">
        <v>0</v>
      </c>
      <c r="S1963" s="23" t="s">
        <v>5949</v>
      </c>
      <c r="T1963" s="23" t="s">
        <v>4931</v>
      </c>
      <c r="U1963" s="3">
        <v>34</v>
      </c>
      <c r="W1963" s="45" t="str">
        <f>HYPERLINK("http://ictvonline.org/taxonomy/p/taxonomy-history?taxnode_id=201855372","ICTVonline=201855372")</f>
        <v>ICTVonline=201855372</v>
      </c>
      <c r="AA1963" s="1">
        <v>201850000</v>
      </c>
      <c r="AB1963" s="1">
        <v>34</v>
      </c>
    </row>
    <row r="1964" spans="1:28" x14ac:dyDescent="0.15">
      <c r="A1964" s="1">
        <v>5007</v>
      </c>
      <c r="B1964" s="1" t="s">
        <v>7159</v>
      </c>
      <c r="L1964" s="1" t="s">
        <v>5590</v>
      </c>
      <c r="N1964" s="1" t="s">
        <v>1009</v>
      </c>
      <c r="P1964" s="1" t="s">
        <v>1011</v>
      </c>
      <c r="Q1964" s="3">
        <v>0</v>
      </c>
      <c r="S1964" s="23" t="s">
        <v>5949</v>
      </c>
      <c r="T1964" s="23" t="s">
        <v>4931</v>
      </c>
      <c r="U1964" s="3">
        <v>34</v>
      </c>
      <c r="W1964" s="45" t="str">
        <f>HYPERLINK("http://ictvonline.org/taxonomy/p/taxonomy-history?taxnode_id=201855373","ICTVonline=201855373")</f>
        <v>ICTVonline=201855373</v>
      </c>
      <c r="AA1964" s="1">
        <v>201850000</v>
      </c>
      <c r="AB1964" s="1">
        <v>34</v>
      </c>
    </row>
    <row r="1965" spans="1:28" x14ac:dyDescent="0.15">
      <c r="A1965" s="1">
        <v>5009</v>
      </c>
      <c r="B1965" s="1" t="s">
        <v>7159</v>
      </c>
      <c r="L1965" s="1" t="s">
        <v>5590</v>
      </c>
      <c r="N1965" s="1" t="s">
        <v>1009</v>
      </c>
      <c r="P1965" s="1" t="s">
        <v>4034</v>
      </c>
      <c r="Q1965" s="3">
        <v>0</v>
      </c>
      <c r="S1965" s="23" t="s">
        <v>5949</v>
      </c>
      <c r="T1965" s="23" t="s">
        <v>4931</v>
      </c>
      <c r="U1965" s="3">
        <v>34</v>
      </c>
      <c r="W1965" s="45" t="str">
        <f>HYPERLINK("http://ictvonline.org/taxonomy/p/taxonomy-history?taxnode_id=201855374","ICTVonline=201855374")</f>
        <v>ICTVonline=201855374</v>
      </c>
      <c r="AA1965" s="1">
        <v>201850000</v>
      </c>
      <c r="AB1965" s="1">
        <v>34</v>
      </c>
    </row>
    <row r="1966" spans="1:28" x14ac:dyDescent="0.15">
      <c r="A1966" s="1">
        <v>5011</v>
      </c>
      <c r="B1966" s="1" t="s">
        <v>7159</v>
      </c>
      <c r="L1966" s="1" t="s">
        <v>5590</v>
      </c>
      <c r="N1966" s="1" t="s">
        <v>1009</v>
      </c>
      <c r="P1966" s="1" t="s">
        <v>215</v>
      </c>
      <c r="Q1966" s="3">
        <v>0</v>
      </c>
      <c r="S1966" s="23" t="s">
        <v>5949</v>
      </c>
      <c r="T1966" s="23" t="s">
        <v>4931</v>
      </c>
      <c r="U1966" s="3">
        <v>34</v>
      </c>
      <c r="W1966" s="45" t="str">
        <f>HYPERLINK("http://ictvonline.org/taxonomy/p/taxonomy-history?taxnode_id=201855375","ICTVonline=201855375")</f>
        <v>ICTVonline=201855375</v>
      </c>
      <c r="AA1966" s="1">
        <v>201850000</v>
      </c>
      <c r="AB1966" s="1">
        <v>34</v>
      </c>
    </row>
    <row r="1967" spans="1:28" x14ac:dyDescent="0.15">
      <c r="A1967" s="1">
        <v>5013</v>
      </c>
      <c r="B1967" s="1" t="s">
        <v>7159</v>
      </c>
      <c r="L1967" s="1" t="s">
        <v>5590</v>
      </c>
      <c r="N1967" s="1" t="s">
        <v>1009</v>
      </c>
      <c r="P1967" s="1" t="s">
        <v>1012</v>
      </c>
      <c r="Q1967" s="3">
        <v>0</v>
      </c>
      <c r="S1967" s="23" t="s">
        <v>5949</v>
      </c>
      <c r="T1967" s="23" t="s">
        <v>4931</v>
      </c>
      <c r="U1967" s="3">
        <v>34</v>
      </c>
      <c r="W1967" s="45" t="str">
        <f>HYPERLINK("http://ictvonline.org/taxonomy/p/taxonomy-history?taxnode_id=201855376","ICTVonline=201855376")</f>
        <v>ICTVonline=201855376</v>
      </c>
      <c r="AA1967" s="1">
        <v>201850000</v>
      </c>
      <c r="AB1967" s="1">
        <v>34</v>
      </c>
    </row>
    <row r="1968" spans="1:28" x14ac:dyDescent="0.15">
      <c r="A1968" s="1">
        <v>5015</v>
      </c>
      <c r="B1968" s="1" t="s">
        <v>7159</v>
      </c>
      <c r="L1968" s="1" t="s">
        <v>5590</v>
      </c>
      <c r="N1968" s="1" t="s">
        <v>1009</v>
      </c>
      <c r="P1968" s="1" t="s">
        <v>4035</v>
      </c>
      <c r="Q1968" s="3">
        <v>0</v>
      </c>
      <c r="S1968" s="23" t="s">
        <v>5949</v>
      </c>
      <c r="T1968" s="23" t="s">
        <v>4931</v>
      </c>
      <c r="U1968" s="3">
        <v>34</v>
      </c>
      <c r="W1968" s="45" t="str">
        <f>HYPERLINK("http://ictvonline.org/taxonomy/p/taxonomy-history?taxnode_id=201855377","ICTVonline=201855377")</f>
        <v>ICTVonline=201855377</v>
      </c>
      <c r="AA1968" s="1">
        <v>201850000</v>
      </c>
      <c r="AB1968" s="1">
        <v>34</v>
      </c>
    </row>
    <row r="1969" spans="1:28" x14ac:dyDescent="0.15">
      <c r="A1969" s="1">
        <v>5017</v>
      </c>
      <c r="B1969" s="1" t="s">
        <v>7159</v>
      </c>
      <c r="L1969" s="1" t="s">
        <v>5590</v>
      </c>
      <c r="N1969" s="1" t="s">
        <v>1009</v>
      </c>
      <c r="P1969" s="1" t="s">
        <v>1013</v>
      </c>
      <c r="Q1969" s="3">
        <v>0</v>
      </c>
      <c r="S1969" s="23" t="s">
        <v>5949</v>
      </c>
      <c r="T1969" s="23" t="s">
        <v>4931</v>
      </c>
      <c r="U1969" s="3">
        <v>34</v>
      </c>
      <c r="W1969" s="45" t="str">
        <f>HYPERLINK("http://ictvonline.org/taxonomy/p/taxonomy-history?taxnode_id=201855378","ICTVonline=201855378")</f>
        <v>ICTVonline=201855378</v>
      </c>
      <c r="AA1969" s="1">
        <v>201850000</v>
      </c>
      <c r="AB1969" s="1">
        <v>34</v>
      </c>
    </row>
    <row r="1970" spans="1:28" x14ac:dyDescent="0.15">
      <c r="A1970" s="1">
        <v>5019</v>
      </c>
      <c r="B1970" s="1" t="s">
        <v>7159</v>
      </c>
      <c r="L1970" s="1" t="s">
        <v>5590</v>
      </c>
      <c r="N1970" s="1" t="s">
        <v>1009</v>
      </c>
      <c r="P1970" s="1" t="s">
        <v>4036</v>
      </c>
      <c r="Q1970" s="3">
        <v>0</v>
      </c>
      <c r="S1970" s="23" t="s">
        <v>5949</v>
      </c>
      <c r="T1970" s="23" t="s">
        <v>4931</v>
      </c>
      <c r="U1970" s="3">
        <v>34</v>
      </c>
      <c r="W1970" s="45" t="str">
        <f>HYPERLINK("http://ictvonline.org/taxonomy/p/taxonomy-history?taxnode_id=201855379","ICTVonline=201855379")</f>
        <v>ICTVonline=201855379</v>
      </c>
      <c r="AA1970" s="1">
        <v>201850000</v>
      </c>
      <c r="AB1970" s="1">
        <v>34</v>
      </c>
    </row>
    <row r="1971" spans="1:28" x14ac:dyDescent="0.15">
      <c r="A1971" s="1">
        <v>5021</v>
      </c>
      <c r="B1971" s="1" t="s">
        <v>7159</v>
      </c>
      <c r="L1971" s="1" t="s">
        <v>5590</v>
      </c>
      <c r="N1971" s="1" t="s">
        <v>1009</v>
      </c>
      <c r="P1971" s="1" t="s">
        <v>1014</v>
      </c>
      <c r="Q1971" s="3">
        <v>0</v>
      </c>
      <c r="S1971" s="23" t="s">
        <v>5949</v>
      </c>
      <c r="T1971" s="23" t="s">
        <v>4931</v>
      </c>
      <c r="U1971" s="3">
        <v>34</v>
      </c>
      <c r="W1971" s="45" t="str">
        <f>HYPERLINK("http://ictvonline.org/taxonomy/p/taxonomy-history?taxnode_id=201855380","ICTVonline=201855380")</f>
        <v>ICTVonline=201855380</v>
      </c>
      <c r="AA1971" s="1">
        <v>201850000</v>
      </c>
      <c r="AB1971" s="1">
        <v>34</v>
      </c>
    </row>
    <row r="1972" spans="1:28" x14ac:dyDescent="0.15">
      <c r="A1972" s="1">
        <v>5023</v>
      </c>
      <c r="B1972" s="1" t="s">
        <v>7159</v>
      </c>
      <c r="L1972" s="1" t="s">
        <v>5590</v>
      </c>
      <c r="N1972" s="1" t="s">
        <v>1009</v>
      </c>
      <c r="P1972" s="1" t="s">
        <v>1412</v>
      </c>
      <c r="Q1972" s="3">
        <v>0</v>
      </c>
      <c r="S1972" s="23" t="s">
        <v>5949</v>
      </c>
      <c r="T1972" s="23" t="s">
        <v>4931</v>
      </c>
      <c r="U1972" s="3">
        <v>34</v>
      </c>
      <c r="W1972" s="45" t="str">
        <f>HYPERLINK("http://ictvonline.org/taxonomy/p/taxonomy-history?taxnode_id=201855381","ICTVonline=201855381")</f>
        <v>ICTVonline=201855381</v>
      </c>
      <c r="AA1972" s="1">
        <v>201850000</v>
      </c>
      <c r="AB1972" s="1">
        <v>34</v>
      </c>
    </row>
    <row r="1973" spans="1:28" x14ac:dyDescent="0.15">
      <c r="A1973" s="1">
        <v>5025</v>
      </c>
      <c r="B1973" s="1" t="s">
        <v>7159</v>
      </c>
      <c r="L1973" s="1" t="s">
        <v>5590</v>
      </c>
      <c r="N1973" s="1" t="s">
        <v>1009</v>
      </c>
      <c r="P1973" s="1" t="s">
        <v>1413</v>
      </c>
      <c r="Q1973" s="3">
        <v>0</v>
      </c>
      <c r="S1973" s="23" t="s">
        <v>5949</v>
      </c>
      <c r="T1973" s="23" t="s">
        <v>4931</v>
      </c>
      <c r="U1973" s="3">
        <v>34</v>
      </c>
      <c r="W1973" s="45" t="str">
        <f>HYPERLINK("http://ictvonline.org/taxonomy/p/taxonomy-history?taxnode_id=201855382","ICTVonline=201855382")</f>
        <v>ICTVonline=201855382</v>
      </c>
      <c r="AA1973" s="1">
        <v>201850000</v>
      </c>
      <c r="AB1973" s="1">
        <v>34</v>
      </c>
    </row>
    <row r="1974" spans="1:28" x14ac:dyDescent="0.15">
      <c r="A1974" s="1">
        <v>5027</v>
      </c>
      <c r="B1974" s="1" t="s">
        <v>7159</v>
      </c>
      <c r="L1974" s="1" t="s">
        <v>5590</v>
      </c>
      <c r="N1974" s="1" t="s">
        <v>1009</v>
      </c>
      <c r="P1974" s="1" t="s">
        <v>1414</v>
      </c>
      <c r="Q1974" s="3">
        <v>1</v>
      </c>
      <c r="S1974" s="23" t="s">
        <v>5949</v>
      </c>
      <c r="T1974" s="23" t="s">
        <v>4931</v>
      </c>
      <c r="U1974" s="3">
        <v>34</v>
      </c>
      <c r="W1974" s="45" t="str">
        <f>HYPERLINK("http://ictvonline.org/taxonomy/p/taxonomy-history?taxnode_id=201855383","ICTVonline=201855383")</f>
        <v>ICTVonline=201855383</v>
      </c>
      <c r="AA1974" s="1">
        <v>201850000</v>
      </c>
      <c r="AB1974" s="1">
        <v>34</v>
      </c>
    </row>
    <row r="1975" spans="1:28" x14ac:dyDescent="0.15">
      <c r="A1975" s="1">
        <v>5029</v>
      </c>
      <c r="B1975" s="1" t="s">
        <v>7159</v>
      </c>
      <c r="L1975" s="1" t="s">
        <v>5590</v>
      </c>
      <c r="N1975" s="1" t="s">
        <v>1009</v>
      </c>
      <c r="P1975" s="1" t="s">
        <v>1415</v>
      </c>
      <c r="Q1975" s="3">
        <v>0</v>
      </c>
      <c r="S1975" s="23" t="s">
        <v>5949</v>
      </c>
      <c r="T1975" s="23" t="s">
        <v>4931</v>
      </c>
      <c r="U1975" s="3">
        <v>34</v>
      </c>
      <c r="W1975" s="45" t="str">
        <f>HYPERLINK("http://ictvonline.org/taxonomy/p/taxonomy-history?taxnode_id=201855384","ICTVonline=201855384")</f>
        <v>ICTVonline=201855384</v>
      </c>
      <c r="AA1975" s="1">
        <v>201850000</v>
      </c>
      <c r="AB1975" s="1">
        <v>34</v>
      </c>
    </row>
    <row r="1976" spans="1:28" x14ac:dyDescent="0.15">
      <c r="A1976" s="1">
        <v>5031</v>
      </c>
      <c r="B1976" s="1" t="s">
        <v>7159</v>
      </c>
      <c r="L1976" s="1" t="s">
        <v>5590</v>
      </c>
      <c r="N1976" s="1" t="s">
        <v>1009</v>
      </c>
      <c r="P1976" s="1" t="s">
        <v>1081</v>
      </c>
      <c r="Q1976" s="3">
        <v>0</v>
      </c>
      <c r="S1976" s="23" t="s">
        <v>5949</v>
      </c>
      <c r="T1976" s="23" t="s">
        <v>4931</v>
      </c>
      <c r="U1976" s="3">
        <v>34</v>
      </c>
      <c r="W1976" s="45" t="str">
        <f>HYPERLINK("http://ictvonline.org/taxonomy/p/taxonomy-history?taxnode_id=201855385","ICTVonline=201855385")</f>
        <v>ICTVonline=201855385</v>
      </c>
      <c r="AA1976" s="1">
        <v>201850000</v>
      </c>
      <c r="AB1976" s="1">
        <v>34</v>
      </c>
    </row>
    <row r="1977" spans="1:28" x14ac:dyDescent="0.15">
      <c r="A1977" s="1">
        <v>5033</v>
      </c>
      <c r="B1977" s="1" t="s">
        <v>7159</v>
      </c>
      <c r="L1977" s="1" t="s">
        <v>5590</v>
      </c>
      <c r="N1977" s="1" t="s">
        <v>1009</v>
      </c>
      <c r="P1977" s="1" t="s">
        <v>4037</v>
      </c>
      <c r="Q1977" s="3">
        <v>0</v>
      </c>
      <c r="S1977" s="23" t="s">
        <v>5949</v>
      </c>
      <c r="T1977" s="23" t="s">
        <v>4931</v>
      </c>
      <c r="U1977" s="3">
        <v>34</v>
      </c>
      <c r="W1977" s="45" t="str">
        <f>HYPERLINK("http://ictvonline.org/taxonomy/p/taxonomy-history?taxnode_id=201855386","ICTVonline=201855386")</f>
        <v>ICTVonline=201855386</v>
      </c>
      <c r="AA1977" s="1">
        <v>201850000</v>
      </c>
      <c r="AB1977" s="1">
        <v>34</v>
      </c>
    </row>
    <row r="1978" spans="1:28" x14ac:dyDescent="0.15">
      <c r="A1978" s="1">
        <v>5035</v>
      </c>
      <c r="B1978" s="1" t="s">
        <v>7159</v>
      </c>
      <c r="L1978" s="1" t="s">
        <v>5590</v>
      </c>
      <c r="N1978" s="1" t="s">
        <v>1009</v>
      </c>
      <c r="P1978" s="1" t="s">
        <v>1082</v>
      </c>
      <c r="Q1978" s="3">
        <v>0</v>
      </c>
      <c r="S1978" s="23" t="s">
        <v>5949</v>
      </c>
      <c r="T1978" s="23" t="s">
        <v>4931</v>
      </c>
      <c r="U1978" s="3">
        <v>34</v>
      </c>
      <c r="W1978" s="45" t="str">
        <f>HYPERLINK("http://ictvonline.org/taxonomy/p/taxonomy-history?taxnode_id=201855387","ICTVonline=201855387")</f>
        <v>ICTVonline=201855387</v>
      </c>
      <c r="AA1978" s="1">
        <v>201850000</v>
      </c>
      <c r="AB1978" s="1">
        <v>34</v>
      </c>
    </row>
    <row r="1979" spans="1:28" x14ac:dyDescent="0.15">
      <c r="A1979" s="1">
        <v>5037</v>
      </c>
      <c r="B1979" s="1" t="s">
        <v>7159</v>
      </c>
      <c r="L1979" s="1" t="s">
        <v>5590</v>
      </c>
      <c r="N1979" s="1" t="s">
        <v>1009</v>
      </c>
      <c r="P1979" s="1" t="s">
        <v>1083</v>
      </c>
      <c r="Q1979" s="3">
        <v>0</v>
      </c>
      <c r="S1979" s="23" t="s">
        <v>5949</v>
      </c>
      <c r="T1979" s="23" t="s">
        <v>4931</v>
      </c>
      <c r="U1979" s="3">
        <v>34</v>
      </c>
      <c r="W1979" s="45" t="str">
        <f>HYPERLINK("http://ictvonline.org/taxonomy/p/taxonomy-history?taxnode_id=201855388","ICTVonline=201855388")</f>
        <v>ICTVonline=201855388</v>
      </c>
      <c r="AA1979" s="1">
        <v>201850000</v>
      </c>
      <c r="AB1979" s="1">
        <v>34</v>
      </c>
    </row>
    <row r="1980" spans="1:28" x14ac:dyDescent="0.15">
      <c r="A1980" s="1">
        <v>5039</v>
      </c>
      <c r="B1980" s="1" t="s">
        <v>7159</v>
      </c>
      <c r="L1980" s="1" t="s">
        <v>5590</v>
      </c>
      <c r="N1980" s="1" t="s">
        <v>1009</v>
      </c>
      <c r="P1980" s="1" t="s">
        <v>1084</v>
      </c>
      <c r="Q1980" s="3">
        <v>0</v>
      </c>
      <c r="S1980" s="23" t="s">
        <v>5949</v>
      </c>
      <c r="T1980" s="23" t="s">
        <v>4931</v>
      </c>
      <c r="U1980" s="3">
        <v>34</v>
      </c>
      <c r="W1980" s="45" t="str">
        <f>HYPERLINK("http://ictvonline.org/taxonomy/p/taxonomy-history?taxnode_id=201855389","ICTVonline=201855389")</f>
        <v>ICTVonline=201855389</v>
      </c>
      <c r="AA1980" s="1">
        <v>201850000</v>
      </c>
      <c r="AB1980" s="1">
        <v>34</v>
      </c>
    </row>
    <row r="1981" spans="1:28" x14ac:dyDescent="0.15">
      <c r="A1981" s="1">
        <v>5045</v>
      </c>
      <c r="B1981" s="1" t="s">
        <v>7159</v>
      </c>
      <c r="L1981" s="1" t="s">
        <v>4837</v>
      </c>
      <c r="N1981" s="1" t="s">
        <v>4838</v>
      </c>
      <c r="P1981" s="1" t="s">
        <v>4839</v>
      </c>
      <c r="Q1981" s="3">
        <v>1</v>
      </c>
      <c r="S1981" s="23" t="s">
        <v>5949</v>
      </c>
      <c r="T1981" s="23" t="s">
        <v>4931</v>
      </c>
      <c r="U1981" s="3">
        <v>34</v>
      </c>
      <c r="W1981" s="45" t="str">
        <f>HYPERLINK("http://ictvonline.org/taxonomy/p/taxonomy-history?taxnode_id=201855051","ICTVonline=201855051")</f>
        <v>ICTVonline=201855051</v>
      </c>
      <c r="AA1981" s="1">
        <v>201850000</v>
      </c>
      <c r="AB1981" s="1">
        <v>34</v>
      </c>
    </row>
    <row r="1982" spans="1:28" x14ac:dyDescent="0.15">
      <c r="A1982" s="1">
        <v>5049</v>
      </c>
      <c r="B1982" s="1" t="s">
        <v>7159</v>
      </c>
      <c r="L1982" s="1" t="s">
        <v>4837</v>
      </c>
      <c r="N1982" s="1" t="s">
        <v>4840</v>
      </c>
      <c r="P1982" s="1" t="s">
        <v>4841</v>
      </c>
      <c r="Q1982" s="3">
        <v>1</v>
      </c>
      <c r="S1982" s="23" t="s">
        <v>5949</v>
      </c>
      <c r="T1982" s="23" t="s">
        <v>4931</v>
      </c>
      <c r="U1982" s="3">
        <v>34</v>
      </c>
      <c r="W1982" s="45" t="str">
        <f>HYPERLINK("http://ictvonline.org/taxonomy/p/taxonomy-history?taxnode_id=201855053","ICTVonline=201855053")</f>
        <v>ICTVonline=201855053</v>
      </c>
      <c r="AA1982" s="1">
        <v>201850000</v>
      </c>
      <c r="AB1982" s="1">
        <v>34</v>
      </c>
    </row>
    <row r="1983" spans="1:28" x14ac:dyDescent="0.15">
      <c r="A1983" s="1">
        <v>5055</v>
      </c>
      <c r="B1983" s="1" t="s">
        <v>7159</v>
      </c>
      <c r="L1983" s="1" t="s">
        <v>846</v>
      </c>
      <c r="N1983" s="1" t="s">
        <v>847</v>
      </c>
      <c r="P1983" s="1" t="s">
        <v>848</v>
      </c>
      <c r="Q1983" s="3">
        <v>0</v>
      </c>
      <c r="S1983" s="23" t="s">
        <v>5949</v>
      </c>
      <c r="T1983" s="23" t="s">
        <v>4931</v>
      </c>
      <c r="U1983" s="3">
        <v>34</v>
      </c>
      <c r="W1983" s="45" t="str">
        <f>HYPERLINK("http://ictvonline.org/taxonomy/p/taxonomy-history?taxnode_id=201855083","ICTVonline=201855083")</f>
        <v>ICTVonline=201855083</v>
      </c>
      <c r="AA1983" s="1">
        <v>201850000</v>
      </c>
      <c r="AB1983" s="1">
        <v>34</v>
      </c>
    </row>
    <row r="1984" spans="1:28" x14ac:dyDescent="0.15">
      <c r="A1984" s="1">
        <v>5057</v>
      </c>
      <c r="B1984" s="1" t="s">
        <v>7159</v>
      </c>
      <c r="L1984" s="1" t="s">
        <v>846</v>
      </c>
      <c r="N1984" s="1" t="s">
        <v>847</v>
      </c>
      <c r="P1984" s="1" t="s">
        <v>849</v>
      </c>
      <c r="Q1984" s="3">
        <v>0</v>
      </c>
      <c r="S1984" s="23" t="s">
        <v>5949</v>
      </c>
      <c r="T1984" s="23" t="s">
        <v>4931</v>
      </c>
      <c r="U1984" s="3">
        <v>34</v>
      </c>
      <c r="W1984" s="45" t="str">
        <f>HYPERLINK("http://ictvonline.org/taxonomy/p/taxonomy-history?taxnode_id=201855084","ICTVonline=201855084")</f>
        <v>ICTVonline=201855084</v>
      </c>
      <c r="AA1984" s="1">
        <v>201850000</v>
      </c>
      <c r="AB1984" s="1">
        <v>34</v>
      </c>
    </row>
    <row r="1985" spans="1:28" x14ac:dyDescent="0.15">
      <c r="A1985" s="1">
        <v>5059</v>
      </c>
      <c r="B1985" s="1" t="s">
        <v>7159</v>
      </c>
      <c r="L1985" s="1" t="s">
        <v>846</v>
      </c>
      <c r="N1985" s="1" t="s">
        <v>847</v>
      </c>
      <c r="P1985" s="1" t="s">
        <v>850</v>
      </c>
      <c r="Q1985" s="3">
        <v>0</v>
      </c>
      <c r="S1985" s="23" t="s">
        <v>5949</v>
      </c>
      <c r="T1985" s="23" t="s">
        <v>4931</v>
      </c>
      <c r="U1985" s="3">
        <v>34</v>
      </c>
      <c r="W1985" s="45" t="str">
        <f>HYPERLINK("http://ictvonline.org/taxonomy/p/taxonomy-history?taxnode_id=201855085","ICTVonline=201855085")</f>
        <v>ICTVonline=201855085</v>
      </c>
      <c r="AA1985" s="1">
        <v>201850000</v>
      </c>
      <c r="AB1985" s="1">
        <v>34</v>
      </c>
    </row>
    <row r="1986" spans="1:28" x14ac:dyDescent="0.15">
      <c r="A1986" s="1">
        <v>5061</v>
      </c>
      <c r="B1986" s="1" t="s">
        <v>7159</v>
      </c>
      <c r="L1986" s="1" t="s">
        <v>846</v>
      </c>
      <c r="N1986" s="1" t="s">
        <v>847</v>
      </c>
      <c r="P1986" s="1" t="s">
        <v>851</v>
      </c>
      <c r="Q1986" s="3">
        <v>0</v>
      </c>
      <c r="S1986" s="23" t="s">
        <v>5949</v>
      </c>
      <c r="T1986" s="23" t="s">
        <v>4931</v>
      </c>
      <c r="U1986" s="3">
        <v>34</v>
      </c>
      <c r="W1986" s="45" t="str">
        <f>HYPERLINK("http://ictvonline.org/taxonomy/p/taxonomy-history?taxnode_id=201855086","ICTVonline=201855086")</f>
        <v>ICTVonline=201855086</v>
      </c>
      <c r="AA1986" s="1">
        <v>201850000</v>
      </c>
      <c r="AB1986" s="1">
        <v>34</v>
      </c>
    </row>
    <row r="1987" spans="1:28" x14ac:dyDescent="0.15">
      <c r="A1987" s="1">
        <v>5063</v>
      </c>
      <c r="B1987" s="1" t="s">
        <v>7159</v>
      </c>
      <c r="L1987" s="1" t="s">
        <v>846</v>
      </c>
      <c r="N1987" s="1" t="s">
        <v>847</v>
      </c>
      <c r="P1987" s="1" t="s">
        <v>852</v>
      </c>
      <c r="Q1987" s="3">
        <v>0</v>
      </c>
      <c r="S1987" s="23" t="s">
        <v>5949</v>
      </c>
      <c r="T1987" s="23" t="s">
        <v>4931</v>
      </c>
      <c r="U1987" s="3">
        <v>34</v>
      </c>
      <c r="W1987" s="45" t="str">
        <f>HYPERLINK("http://ictvonline.org/taxonomy/p/taxonomy-history?taxnode_id=201855087","ICTVonline=201855087")</f>
        <v>ICTVonline=201855087</v>
      </c>
      <c r="AA1987" s="1">
        <v>201850000</v>
      </c>
      <c r="AB1987" s="1">
        <v>34</v>
      </c>
    </row>
    <row r="1988" spans="1:28" x14ac:dyDescent="0.15">
      <c r="A1988" s="1">
        <v>5065</v>
      </c>
      <c r="B1988" s="1" t="s">
        <v>7159</v>
      </c>
      <c r="L1988" s="1" t="s">
        <v>846</v>
      </c>
      <c r="N1988" s="1" t="s">
        <v>847</v>
      </c>
      <c r="P1988" s="1" t="s">
        <v>853</v>
      </c>
      <c r="Q1988" s="3">
        <v>0</v>
      </c>
      <c r="S1988" s="23" t="s">
        <v>5949</v>
      </c>
      <c r="T1988" s="23" t="s">
        <v>4931</v>
      </c>
      <c r="U1988" s="3">
        <v>34</v>
      </c>
      <c r="W1988" s="45" t="str">
        <f>HYPERLINK("http://ictvonline.org/taxonomy/p/taxonomy-history?taxnode_id=201855088","ICTVonline=201855088")</f>
        <v>ICTVonline=201855088</v>
      </c>
      <c r="AA1988" s="1">
        <v>201850000</v>
      </c>
      <c r="AB1988" s="1">
        <v>34</v>
      </c>
    </row>
    <row r="1989" spans="1:28" x14ac:dyDescent="0.15">
      <c r="A1989" s="1">
        <v>5067</v>
      </c>
      <c r="B1989" s="1" t="s">
        <v>7159</v>
      </c>
      <c r="L1989" s="1" t="s">
        <v>846</v>
      </c>
      <c r="N1989" s="1" t="s">
        <v>847</v>
      </c>
      <c r="P1989" s="1" t="s">
        <v>2606</v>
      </c>
      <c r="Q1989" s="3">
        <v>0</v>
      </c>
      <c r="S1989" s="23" t="s">
        <v>5949</v>
      </c>
      <c r="T1989" s="23" t="s">
        <v>4931</v>
      </c>
      <c r="U1989" s="3">
        <v>34</v>
      </c>
      <c r="W1989" s="45" t="str">
        <f>HYPERLINK("http://ictvonline.org/taxonomy/p/taxonomy-history?taxnode_id=201855089","ICTVonline=201855089")</f>
        <v>ICTVonline=201855089</v>
      </c>
      <c r="AA1989" s="1">
        <v>201850000</v>
      </c>
      <c r="AB1989" s="1">
        <v>34</v>
      </c>
    </row>
    <row r="1990" spans="1:28" x14ac:dyDescent="0.15">
      <c r="A1990" s="1">
        <v>5069</v>
      </c>
      <c r="B1990" s="1" t="s">
        <v>7159</v>
      </c>
      <c r="L1990" s="1" t="s">
        <v>846</v>
      </c>
      <c r="N1990" s="1" t="s">
        <v>847</v>
      </c>
      <c r="P1990" s="1" t="s">
        <v>854</v>
      </c>
      <c r="Q1990" s="3">
        <v>0</v>
      </c>
      <c r="S1990" s="23" t="s">
        <v>5949</v>
      </c>
      <c r="T1990" s="23" t="s">
        <v>4931</v>
      </c>
      <c r="U1990" s="3">
        <v>34</v>
      </c>
      <c r="W1990" s="45" t="str">
        <f>HYPERLINK("http://ictvonline.org/taxonomy/p/taxonomy-history?taxnode_id=201855090","ICTVonline=201855090")</f>
        <v>ICTVonline=201855090</v>
      </c>
      <c r="AA1990" s="1">
        <v>201850000</v>
      </c>
      <c r="AB1990" s="1">
        <v>34</v>
      </c>
    </row>
    <row r="1991" spans="1:28" x14ac:dyDescent="0.15">
      <c r="A1991" s="1">
        <v>5071</v>
      </c>
      <c r="B1991" s="1" t="s">
        <v>7159</v>
      </c>
      <c r="L1991" s="1" t="s">
        <v>846</v>
      </c>
      <c r="N1991" s="1" t="s">
        <v>847</v>
      </c>
      <c r="P1991" s="1" t="s">
        <v>855</v>
      </c>
      <c r="Q1991" s="3">
        <v>0</v>
      </c>
      <c r="S1991" s="23" t="s">
        <v>5949</v>
      </c>
      <c r="T1991" s="23" t="s">
        <v>4931</v>
      </c>
      <c r="U1991" s="3">
        <v>34</v>
      </c>
      <c r="W1991" s="45" t="str">
        <f>HYPERLINK("http://ictvonline.org/taxonomy/p/taxonomy-history?taxnode_id=201855091","ICTVonline=201855091")</f>
        <v>ICTVonline=201855091</v>
      </c>
      <c r="AA1991" s="1">
        <v>201850000</v>
      </c>
      <c r="AB1991" s="1">
        <v>34</v>
      </c>
    </row>
    <row r="1992" spans="1:28" x14ac:dyDescent="0.15">
      <c r="A1992" s="1">
        <v>5073</v>
      </c>
      <c r="B1992" s="1" t="s">
        <v>7159</v>
      </c>
      <c r="L1992" s="1" t="s">
        <v>846</v>
      </c>
      <c r="N1992" s="1" t="s">
        <v>847</v>
      </c>
      <c r="P1992" s="1" t="s">
        <v>856</v>
      </c>
      <c r="Q1992" s="3">
        <v>0</v>
      </c>
      <c r="S1992" s="23" t="s">
        <v>5949</v>
      </c>
      <c r="T1992" s="23" t="s">
        <v>4931</v>
      </c>
      <c r="U1992" s="3">
        <v>34</v>
      </c>
      <c r="W1992" s="45" t="str">
        <f>HYPERLINK("http://ictvonline.org/taxonomy/p/taxonomy-history?taxnode_id=201855092","ICTVonline=201855092")</f>
        <v>ICTVonline=201855092</v>
      </c>
      <c r="AA1992" s="1">
        <v>201850000</v>
      </c>
      <c r="AB1992" s="1">
        <v>34</v>
      </c>
    </row>
    <row r="1993" spans="1:28" x14ac:dyDescent="0.15">
      <c r="A1993" s="1">
        <v>5075</v>
      </c>
      <c r="B1993" s="1" t="s">
        <v>7159</v>
      </c>
      <c r="L1993" s="1" t="s">
        <v>846</v>
      </c>
      <c r="N1993" s="1" t="s">
        <v>847</v>
      </c>
      <c r="P1993" s="1" t="s">
        <v>857</v>
      </c>
      <c r="Q1993" s="3">
        <v>0</v>
      </c>
      <c r="S1993" s="23" t="s">
        <v>5949</v>
      </c>
      <c r="T1993" s="23" t="s">
        <v>4931</v>
      </c>
      <c r="U1993" s="3">
        <v>34</v>
      </c>
      <c r="W1993" s="45" t="str">
        <f>HYPERLINK("http://ictvonline.org/taxonomy/p/taxonomy-history?taxnode_id=201855093","ICTVonline=201855093")</f>
        <v>ICTVonline=201855093</v>
      </c>
      <c r="AA1993" s="1">
        <v>201850000</v>
      </c>
      <c r="AB1993" s="1">
        <v>34</v>
      </c>
    </row>
    <row r="1994" spans="1:28" x14ac:dyDescent="0.15">
      <c r="A1994" s="1">
        <v>5077</v>
      </c>
      <c r="B1994" s="1" t="s">
        <v>7159</v>
      </c>
      <c r="L1994" s="1" t="s">
        <v>846</v>
      </c>
      <c r="N1994" s="1" t="s">
        <v>847</v>
      </c>
      <c r="P1994" s="1" t="s">
        <v>2274</v>
      </c>
      <c r="Q1994" s="3">
        <v>0</v>
      </c>
      <c r="S1994" s="23" t="s">
        <v>5949</v>
      </c>
      <c r="T1994" s="23" t="s">
        <v>4931</v>
      </c>
      <c r="U1994" s="3">
        <v>34</v>
      </c>
      <c r="W1994" s="45" t="str">
        <f>HYPERLINK("http://ictvonline.org/taxonomy/p/taxonomy-history?taxnode_id=201855094","ICTVonline=201855094")</f>
        <v>ICTVonline=201855094</v>
      </c>
      <c r="AA1994" s="1">
        <v>201850000</v>
      </c>
      <c r="AB1994" s="1">
        <v>34</v>
      </c>
    </row>
    <row r="1995" spans="1:28" x14ac:dyDescent="0.15">
      <c r="A1995" s="1">
        <v>5079</v>
      </c>
      <c r="B1995" s="1" t="s">
        <v>7159</v>
      </c>
      <c r="L1995" s="1" t="s">
        <v>846</v>
      </c>
      <c r="N1995" s="1" t="s">
        <v>847</v>
      </c>
      <c r="P1995" s="1" t="s">
        <v>858</v>
      </c>
      <c r="Q1995" s="3">
        <v>0</v>
      </c>
      <c r="S1995" s="23" t="s">
        <v>5949</v>
      </c>
      <c r="T1995" s="23" t="s">
        <v>4931</v>
      </c>
      <c r="U1995" s="3">
        <v>34</v>
      </c>
      <c r="W1995" s="45" t="str">
        <f>HYPERLINK("http://ictvonline.org/taxonomy/p/taxonomy-history?taxnode_id=201855095","ICTVonline=201855095")</f>
        <v>ICTVonline=201855095</v>
      </c>
      <c r="AA1995" s="1">
        <v>201850000</v>
      </c>
      <c r="AB1995" s="1">
        <v>34</v>
      </c>
    </row>
    <row r="1996" spans="1:28" x14ac:dyDescent="0.15">
      <c r="A1996" s="1">
        <v>5081</v>
      </c>
      <c r="B1996" s="1" t="s">
        <v>7159</v>
      </c>
      <c r="L1996" s="1" t="s">
        <v>846</v>
      </c>
      <c r="N1996" s="1" t="s">
        <v>847</v>
      </c>
      <c r="P1996" s="1" t="s">
        <v>859</v>
      </c>
      <c r="Q1996" s="3">
        <v>0</v>
      </c>
      <c r="S1996" s="23" t="s">
        <v>5949</v>
      </c>
      <c r="T1996" s="23" t="s">
        <v>4931</v>
      </c>
      <c r="U1996" s="3">
        <v>34</v>
      </c>
      <c r="W1996" s="45" t="str">
        <f>HYPERLINK("http://ictvonline.org/taxonomy/p/taxonomy-history?taxnode_id=201855096","ICTVonline=201855096")</f>
        <v>ICTVonline=201855096</v>
      </c>
      <c r="AA1996" s="1">
        <v>201850000</v>
      </c>
      <c r="AB1996" s="1">
        <v>34</v>
      </c>
    </row>
    <row r="1997" spans="1:28" x14ac:dyDescent="0.15">
      <c r="A1997" s="1">
        <v>5083</v>
      </c>
      <c r="B1997" s="1" t="s">
        <v>7159</v>
      </c>
      <c r="L1997" s="1" t="s">
        <v>846</v>
      </c>
      <c r="N1997" s="1" t="s">
        <v>847</v>
      </c>
      <c r="P1997" s="1" t="s">
        <v>2747</v>
      </c>
      <c r="Q1997" s="3">
        <v>0</v>
      </c>
      <c r="S1997" s="23" t="s">
        <v>5949</v>
      </c>
      <c r="T1997" s="23" t="s">
        <v>4931</v>
      </c>
      <c r="U1997" s="3">
        <v>34</v>
      </c>
      <c r="W1997" s="45" t="str">
        <f>HYPERLINK("http://ictvonline.org/taxonomy/p/taxonomy-history?taxnode_id=201855097","ICTVonline=201855097")</f>
        <v>ICTVonline=201855097</v>
      </c>
      <c r="AA1997" s="1">
        <v>201850000</v>
      </c>
      <c r="AB1997" s="1">
        <v>34</v>
      </c>
    </row>
    <row r="1998" spans="1:28" x14ac:dyDescent="0.15">
      <c r="A1998" s="1">
        <v>5085</v>
      </c>
      <c r="B1998" s="1" t="s">
        <v>7159</v>
      </c>
      <c r="L1998" s="1" t="s">
        <v>846</v>
      </c>
      <c r="N1998" s="1" t="s">
        <v>847</v>
      </c>
      <c r="P1998" s="1" t="s">
        <v>860</v>
      </c>
      <c r="Q1998" s="3">
        <v>0</v>
      </c>
      <c r="S1998" s="23" t="s">
        <v>5949</v>
      </c>
      <c r="T1998" s="23" t="s">
        <v>4931</v>
      </c>
      <c r="U1998" s="3">
        <v>34</v>
      </c>
      <c r="W1998" s="45" t="str">
        <f>HYPERLINK("http://ictvonline.org/taxonomy/p/taxonomy-history?taxnode_id=201855098","ICTVonline=201855098")</f>
        <v>ICTVonline=201855098</v>
      </c>
      <c r="AA1998" s="1">
        <v>201850000</v>
      </c>
      <c r="AB1998" s="1">
        <v>34</v>
      </c>
    </row>
    <row r="1999" spans="1:28" x14ac:dyDescent="0.15">
      <c r="A1999" s="1">
        <v>5087</v>
      </c>
      <c r="B1999" s="1" t="s">
        <v>7159</v>
      </c>
      <c r="L1999" s="1" t="s">
        <v>846</v>
      </c>
      <c r="N1999" s="1" t="s">
        <v>847</v>
      </c>
      <c r="P1999" s="1" t="s">
        <v>861</v>
      </c>
      <c r="Q1999" s="3">
        <v>0</v>
      </c>
      <c r="S1999" s="23" t="s">
        <v>5949</v>
      </c>
      <c r="T1999" s="23" t="s">
        <v>4931</v>
      </c>
      <c r="U1999" s="3">
        <v>34</v>
      </c>
      <c r="W1999" s="45" t="str">
        <f>HYPERLINK("http://ictvonline.org/taxonomy/p/taxonomy-history?taxnode_id=201855099","ICTVonline=201855099")</f>
        <v>ICTVonline=201855099</v>
      </c>
      <c r="AA1999" s="1">
        <v>201850000</v>
      </c>
      <c r="AB1999" s="1">
        <v>34</v>
      </c>
    </row>
    <row r="2000" spans="1:28" x14ac:dyDescent="0.15">
      <c r="A2000" s="1">
        <v>5089</v>
      </c>
      <c r="B2000" s="1" t="s">
        <v>7159</v>
      </c>
      <c r="L2000" s="1" t="s">
        <v>846</v>
      </c>
      <c r="N2000" s="1" t="s">
        <v>847</v>
      </c>
      <c r="P2000" s="1" t="s">
        <v>5597</v>
      </c>
      <c r="Q2000" s="3">
        <v>0</v>
      </c>
      <c r="S2000" s="23" t="s">
        <v>5949</v>
      </c>
      <c r="T2000" s="23" t="s">
        <v>4931</v>
      </c>
      <c r="U2000" s="3">
        <v>34</v>
      </c>
      <c r="W2000" s="45" t="str">
        <f>HYPERLINK("http://ictvonline.org/taxonomy/p/taxonomy-history?taxnode_id=201855100","ICTVonline=201855100")</f>
        <v>ICTVonline=201855100</v>
      </c>
      <c r="AA2000" s="1">
        <v>201850000</v>
      </c>
      <c r="AB2000" s="1">
        <v>34</v>
      </c>
    </row>
    <row r="2001" spans="1:28" x14ac:dyDescent="0.15">
      <c r="A2001" s="1">
        <v>5091</v>
      </c>
      <c r="B2001" s="1" t="s">
        <v>7159</v>
      </c>
      <c r="L2001" s="1" t="s">
        <v>846</v>
      </c>
      <c r="N2001" s="1" t="s">
        <v>847</v>
      </c>
      <c r="P2001" s="1" t="s">
        <v>862</v>
      </c>
      <c r="Q2001" s="3">
        <v>0</v>
      </c>
      <c r="S2001" s="23" t="s">
        <v>5949</v>
      </c>
      <c r="T2001" s="23" t="s">
        <v>4931</v>
      </c>
      <c r="U2001" s="3">
        <v>34</v>
      </c>
      <c r="W2001" s="45" t="str">
        <f>HYPERLINK("http://ictvonline.org/taxonomy/p/taxonomy-history?taxnode_id=201855101","ICTVonline=201855101")</f>
        <v>ICTVonline=201855101</v>
      </c>
      <c r="AA2001" s="1">
        <v>201850000</v>
      </c>
      <c r="AB2001" s="1">
        <v>34</v>
      </c>
    </row>
    <row r="2002" spans="1:28" x14ac:dyDescent="0.15">
      <c r="A2002" s="1">
        <v>5093</v>
      </c>
      <c r="B2002" s="1" t="s">
        <v>7159</v>
      </c>
      <c r="L2002" s="1" t="s">
        <v>846</v>
      </c>
      <c r="N2002" s="1" t="s">
        <v>847</v>
      </c>
      <c r="P2002" s="1" t="s">
        <v>1317</v>
      </c>
      <c r="Q2002" s="3">
        <v>0</v>
      </c>
      <c r="S2002" s="23" t="s">
        <v>5949</v>
      </c>
      <c r="T2002" s="23" t="s">
        <v>4931</v>
      </c>
      <c r="U2002" s="3">
        <v>34</v>
      </c>
      <c r="W2002" s="45" t="str">
        <f>HYPERLINK("http://ictvonline.org/taxonomy/p/taxonomy-history?taxnode_id=201855102","ICTVonline=201855102")</f>
        <v>ICTVonline=201855102</v>
      </c>
      <c r="AA2002" s="1">
        <v>201850000</v>
      </c>
      <c r="AB2002" s="1">
        <v>34</v>
      </c>
    </row>
    <row r="2003" spans="1:28" x14ac:dyDescent="0.15">
      <c r="A2003" s="1">
        <v>5095</v>
      </c>
      <c r="B2003" s="1" t="s">
        <v>7159</v>
      </c>
      <c r="L2003" s="1" t="s">
        <v>846</v>
      </c>
      <c r="N2003" s="1" t="s">
        <v>847</v>
      </c>
      <c r="P2003" s="1" t="s">
        <v>1318</v>
      </c>
      <c r="Q2003" s="3">
        <v>0</v>
      </c>
      <c r="S2003" s="23" t="s">
        <v>5949</v>
      </c>
      <c r="T2003" s="23" t="s">
        <v>4931</v>
      </c>
      <c r="U2003" s="3">
        <v>34</v>
      </c>
      <c r="W2003" s="45" t="str">
        <f>HYPERLINK("http://ictvonline.org/taxonomy/p/taxonomy-history?taxnode_id=201855103","ICTVonline=201855103")</f>
        <v>ICTVonline=201855103</v>
      </c>
      <c r="AA2003" s="1">
        <v>201850000</v>
      </c>
      <c r="AB2003" s="1">
        <v>34</v>
      </c>
    </row>
    <row r="2004" spans="1:28" x14ac:dyDescent="0.15">
      <c r="A2004" s="1">
        <v>5097</v>
      </c>
      <c r="B2004" s="1" t="s">
        <v>7159</v>
      </c>
      <c r="L2004" s="1" t="s">
        <v>846</v>
      </c>
      <c r="N2004" s="1" t="s">
        <v>847</v>
      </c>
      <c r="P2004" s="1" t="s">
        <v>1319</v>
      </c>
      <c r="Q2004" s="3">
        <v>0</v>
      </c>
      <c r="S2004" s="23" t="s">
        <v>5949</v>
      </c>
      <c r="T2004" s="23" t="s">
        <v>4931</v>
      </c>
      <c r="U2004" s="3">
        <v>34</v>
      </c>
      <c r="W2004" s="45" t="str">
        <f>HYPERLINK("http://ictvonline.org/taxonomy/p/taxonomy-history?taxnode_id=201855104","ICTVonline=201855104")</f>
        <v>ICTVonline=201855104</v>
      </c>
      <c r="AA2004" s="1">
        <v>201850000</v>
      </c>
      <c r="AB2004" s="1">
        <v>34</v>
      </c>
    </row>
    <row r="2005" spans="1:28" x14ac:dyDescent="0.15">
      <c r="A2005" s="1">
        <v>5099</v>
      </c>
      <c r="B2005" s="1" t="s">
        <v>7159</v>
      </c>
      <c r="L2005" s="1" t="s">
        <v>846</v>
      </c>
      <c r="N2005" s="1" t="s">
        <v>847</v>
      </c>
      <c r="P2005" s="1" t="s">
        <v>1320</v>
      </c>
      <c r="Q2005" s="3">
        <v>0</v>
      </c>
      <c r="S2005" s="23" t="s">
        <v>5949</v>
      </c>
      <c r="T2005" s="23" t="s">
        <v>4931</v>
      </c>
      <c r="U2005" s="3">
        <v>34</v>
      </c>
      <c r="W2005" s="45" t="str">
        <f>HYPERLINK("http://ictvonline.org/taxonomy/p/taxonomy-history?taxnode_id=201855105","ICTVonline=201855105")</f>
        <v>ICTVonline=201855105</v>
      </c>
      <c r="AA2005" s="1">
        <v>201850000</v>
      </c>
      <c r="AB2005" s="1">
        <v>34</v>
      </c>
    </row>
    <row r="2006" spans="1:28" x14ac:dyDescent="0.15">
      <c r="A2006" s="1">
        <v>5101</v>
      </c>
      <c r="B2006" s="1" t="s">
        <v>7159</v>
      </c>
      <c r="L2006" s="1" t="s">
        <v>846</v>
      </c>
      <c r="N2006" s="1" t="s">
        <v>847</v>
      </c>
      <c r="P2006" s="1" t="s">
        <v>1321</v>
      </c>
      <c r="Q2006" s="3">
        <v>1</v>
      </c>
      <c r="S2006" s="23" t="s">
        <v>5949</v>
      </c>
      <c r="T2006" s="23" t="s">
        <v>4931</v>
      </c>
      <c r="U2006" s="3">
        <v>34</v>
      </c>
      <c r="W2006" s="45" t="str">
        <f>HYPERLINK("http://ictvonline.org/taxonomy/p/taxonomy-history?taxnode_id=201855106","ICTVonline=201855106")</f>
        <v>ICTVonline=201855106</v>
      </c>
      <c r="AA2006" s="1">
        <v>201850000</v>
      </c>
      <c r="AB2006" s="1">
        <v>34</v>
      </c>
    </row>
    <row r="2007" spans="1:28" x14ac:dyDescent="0.15">
      <c r="A2007" s="1">
        <v>5103</v>
      </c>
      <c r="B2007" s="1" t="s">
        <v>7159</v>
      </c>
      <c r="L2007" s="1" t="s">
        <v>846</v>
      </c>
      <c r="N2007" s="1" t="s">
        <v>847</v>
      </c>
      <c r="P2007" s="1" t="s">
        <v>1322</v>
      </c>
      <c r="Q2007" s="3">
        <v>0</v>
      </c>
      <c r="S2007" s="23" t="s">
        <v>5949</v>
      </c>
      <c r="T2007" s="23" t="s">
        <v>4931</v>
      </c>
      <c r="U2007" s="3">
        <v>34</v>
      </c>
      <c r="W2007" s="45" t="str">
        <f>HYPERLINK("http://ictvonline.org/taxonomy/p/taxonomy-history?taxnode_id=201855107","ICTVonline=201855107")</f>
        <v>ICTVonline=201855107</v>
      </c>
      <c r="AA2007" s="1">
        <v>201850000</v>
      </c>
      <c r="AB2007" s="1">
        <v>34</v>
      </c>
    </row>
    <row r="2008" spans="1:28" x14ac:dyDescent="0.15">
      <c r="A2008" s="1">
        <v>5105</v>
      </c>
      <c r="B2008" s="1" t="s">
        <v>7159</v>
      </c>
      <c r="L2008" s="1" t="s">
        <v>846</v>
      </c>
      <c r="N2008" s="1" t="s">
        <v>847</v>
      </c>
      <c r="P2008" s="1" t="s">
        <v>774</v>
      </c>
      <c r="Q2008" s="3">
        <v>0</v>
      </c>
      <c r="S2008" s="23" t="s">
        <v>5949</v>
      </c>
      <c r="T2008" s="23" t="s">
        <v>4931</v>
      </c>
      <c r="U2008" s="3">
        <v>34</v>
      </c>
      <c r="W2008" s="45" t="str">
        <f>HYPERLINK("http://ictvonline.org/taxonomy/p/taxonomy-history?taxnode_id=201855108","ICTVonline=201855108")</f>
        <v>ICTVonline=201855108</v>
      </c>
      <c r="AA2008" s="1">
        <v>201850000</v>
      </c>
      <c r="AB2008" s="1">
        <v>34</v>
      </c>
    </row>
    <row r="2009" spans="1:28" x14ac:dyDescent="0.15">
      <c r="A2009" s="1">
        <v>5107</v>
      </c>
      <c r="B2009" s="1" t="s">
        <v>7159</v>
      </c>
      <c r="L2009" s="1" t="s">
        <v>846</v>
      </c>
      <c r="N2009" s="1" t="s">
        <v>847</v>
      </c>
      <c r="P2009" s="1" t="s">
        <v>775</v>
      </c>
      <c r="Q2009" s="3">
        <v>0</v>
      </c>
      <c r="S2009" s="23" t="s">
        <v>5949</v>
      </c>
      <c r="T2009" s="23" t="s">
        <v>4931</v>
      </c>
      <c r="U2009" s="3">
        <v>34</v>
      </c>
      <c r="W2009" s="45" t="str">
        <f>HYPERLINK("http://ictvonline.org/taxonomy/p/taxonomy-history?taxnode_id=201855109","ICTVonline=201855109")</f>
        <v>ICTVonline=201855109</v>
      </c>
      <c r="AA2009" s="1">
        <v>201850000</v>
      </c>
      <c r="AB2009" s="1">
        <v>34</v>
      </c>
    </row>
    <row r="2010" spans="1:28" x14ac:dyDescent="0.15">
      <c r="A2010" s="1">
        <v>5109</v>
      </c>
      <c r="B2010" s="1" t="s">
        <v>7159</v>
      </c>
      <c r="L2010" s="1" t="s">
        <v>846</v>
      </c>
      <c r="N2010" s="1" t="s">
        <v>847</v>
      </c>
      <c r="P2010" s="1" t="s">
        <v>776</v>
      </c>
      <c r="Q2010" s="3">
        <v>0</v>
      </c>
      <c r="S2010" s="23" t="s">
        <v>5949</v>
      </c>
      <c r="T2010" s="23" t="s">
        <v>4931</v>
      </c>
      <c r="U2010" s="3">
        <v>34</v>
      </c>
      <c r="W2010" s="45" t="str">
        <f>HYPERLINK("http://ictvonline.org/taxonomy/p/taxonomy-history?taxnode_id=201855110","ICTVonline=201855110")</f>
        <v>ICTVonline=201855110</v>
      </c>
      <c r="AA2010" s="1">
        <v>201850000</v>
      </c>
      <c r="AB2010" s="1">
        <v>34</v>
      </c>
    </row>
    <row r="2011" spans="1:28" x14ac:dyDescent="0.15">
      <c r="A2011" s="1">
        <v>5111</v>
      </c>
      <c r="B2011" s="1" t="s">
        <v>7159</v>
      </c>
      <c r="L2011" s="1" t="s">
        <v>846</v>
      </c>
      <c r="N2011" s="1" t="s">
        <v>847</v>
      </c>
      <c r="P2011" s="1" t="s">
        <v>1808</v>
      </c>
      <c r="Q2011" s="3">
        <v>0</v>
      </c>
      <c r="S2011" s="23" t="s">
        <v>5949</v>
      </c>
      <c r="T2011" s="23" t="s">
        <v>4931</v>
      </c>
      <c r="U2011" s="3">
        <v>34</v>
      </c>
      <c r="W2011" s="45" t="str">
        <f>HYPERLINK("http://ictvonline.org/taxonomy/p/taxonomy-history?taxnode_id=201855111","ICTVonline=201855111")</f>
        <v>ICTVonline=201855111</v>
      </c>
      <c r="AA2011" s="1">
        <v>201850000</v>
      </c>
      <c r="AB2011" s="1">
        <v>34</v>
      </c>
    </row>
    <row r="2012" spans="1:28" x14ac:dyDescent="0.15">
      <c r="A2012" s="1">
        <v>5113</v>
      </c>
      <c r="B2012" s="1" t="s">
        <v>7159</v>
      </c>
      <c r="L2012" s="1" t="s">
        <v>846</v>
      </c>
      <c r="N2012" s="1" t="s">
        <v>847</v>
      </c>
      <c r="P2012" s="1" t="s">
        <v>1809</v>
      </c>
      <c r="Q2012" s="3">
        <v>0</v>
      </c>
      <c r="S2012" s="23" t="s">
        <v>5949</v>
      </c>
      <c r="T2012" s="23" t="s">
        <v>4931</v>
      </c>
      <c r="U2012" s="3">
        <v>34</v>
      </c>
      <c r="W2012" s="45" t="str">
        <f>HYPERLINK("http://ictvonline.org/taxonomy/p/taxonomy-history?taxnode_id=201855112","ICTVonline=201855112")</f>
        <v>ICTVonline=201855112</v>
      </c>
      <c r="AA2012" s="1">
        <v>201850000</v>
      </c>
      <c r="AB2012" s="1">
        <v>34</v>
      </c>
    </row>
    <row r="2013" spans="1:28" x14ac:dyDescent="0.15">
      <c r="A2013" s="1">
        <v>5115</v>
      </c>
      <c r="B2013" s="1" t="s">
        <v>7159</v>
      </c>
      <c r="L2013" s="1" t="s">
        <v>846</v>
      </c>
      <c r="N2013" s="1" t="s">
        <v>847</v>
      </c>
      <c r="P2013" s="1" t="s">
        <v>1810</v>
      </c>
      <c r="Q2013" s="3">
        <v>0</v>
      </c>
      <c r="S2013" s="23" t="s">
        <v>5949</v>
      </c>
      <c r="T2013" s="23" t="s">
        <v>4931</v>
      </c>
      <c r="U2013" s="3">
        <v>34</v>
      </c>
      <c r="W2013" s="45" t="str">
        <f>HYPERLINK("http://ictvonline.org/taxonomy/p/taxonomy-history?taxnode_id=201855113","ICTVonline=201855113")</f>
        <v>ICTVonline=201855113</v>
      </c>
      <c r="AA2013" s="1">
        <v>201850000</v>
      </c>
      <c r="AB2013" s="1">
        <v>34</v>
      </c>
    </row>
    <row r="2014" spans="1:28" x14ac:dyDescent="0.15">
      <c r="A2014" s="1">
        <v>5122</v>
      </c>
      <c r="B2014" s="1" t="s">
        <v>7159</v>
      </c>
      <c r="L2014" s="1" t="s">
        <v>782</v>
      </c>
      <c r="M2014" s="1" t="s">
        <v>7149</v>
      </c>
      <c r="N2014" s="1" t="s">
        <v>1711</v>
      </c>
      <c r="P2014" s="1" t="s">
        <v>1712</v>
      </c>
      <c r="Q2014" s="3">
        <v>0</v>
      </c>
      <c r="S2014" s="23" t="s">
        <v>5949</v>
      </c>
      <c r="T2014" s="23" t="s">
        <v>4931</v>
      </c>
      <c r="U2014" s="3">
        <v>34</v>
      </c>
      <c r="W2014" s="45" t="str">
        <f>HYPERLINK("http://ictvonline.org/taxonomy/p/taxonomy-history?taxnode_id=201855267","ICTVonline=201855267")</f>
        <v>ICTVonline=201855267</v>
      </c>
      <c r="AA2014" s="1">
        <v>201850000</v>
      </c>
      <c r="AB2014" s="1">
        <v>34</v>
      </c>
    </row>
    <row r="2015" spans="1:28" x14ac:dyDescent="0.15">
      <c r="A2015" s="1">
        <v>5124</v>
      </c>
      <c r="B2015" s="1" t="s">
        <v>7159</v>
      </c>
      <c r="L2015" s="1" t="s">
        <v>782</v>
      </c>
      <c r="M2015" s="1" t="s">
        <v>7149</v>
      </c>
      <c r="N2015" s="1" t="s">
        <v>1711</v>
      </c>
      <c r="P2015" s="1" t="s">
        <v>1121</v>
      </c>
      <c r="Q2015" s="3">
        <v>1</v>
      </c>
      <c r="S2015" s="23" t="s">
        <v>5949</v>
      </c>
      <c r="T2015" s="23" t="s">
        <v>4931</v>
      </c>
      <c r="U2015" s="3">
        <v>34</v>
      </c>
      <c r="W2015" s="45" t="str">
        <f>HYPERLINK("http://ictvonline.org/taxonomy/p/taxonomy-history?taxnode_id=201855268","ICTVonline=201855268")</f>
        <v>ICTVonline=201855268</v>
      </c>
      <c r="AA2015" s="1">
        <v>201850000</v>
      </c>
      <c r="AB2015" s="1">
        <v>34</v>
      </c>
    </row>
    <row r="2016" spans="1:28" x14ac:dyDescent="0.15">
      <c r="A2016" s="1">
        <v>5126</v>
      </c>
      <c r="B2016" s="1" t="s">
        <v>7159</v>
      </c>
      <c r="L2016" s="1" t="s">
        <v>782</v>
      </c>
      <c r="M2016" s="1" t="s">
        <v>7149</v>
      </c>
      <c r="N2016" s="1" t="s">
        <v>1711</v>
      </c>
      <c r="P2016" s="1" t="s">
        <v>4917</v>
      </c>
      <c r="Q2016" s="3">
        <v>0</v>
      </c>
      <c r="S2016" s="23" t="s">
        <v>5949</v>
      </c>
      <c r="T2016" s="23" t="s">
        <v>4931</v>
      </c>
      <c r="U2016" s="3">
        <v>34</v>
      </c>
      <c r="W2016" s="45" t="str">
        <f>HYPERLINK("http://ictvonline.org/taxonomy/p/taxonomy-history?taxnode_id=201855269","ICTVonline=201855269")</f>
        <v>ICTVonline=201855269</v>
      </c>
      <c r="AA2016" s="1">
        <v>201850000</v>
      </c>
      <c r="AB2016" s="1">
        <v>34</v>
      </c>
    </row>
    <row r="2017" spans="1:28" x14ac:dyDescent="0.15">
      <c r="A2017" s="1">
        <v>5128</v>
      </c>
      <c r="B2017" s="1" t="s">
        <v>7159</v>
      </c>
      <c r="L2017" s="1" t="s">
        <v>782</v>
      </c>
      <c r="M2017" s="1" t="s">
        <v>7149</v>
      </c>
      <c r="N2017" s="1" t="s">
        <v>1711</v>
      </c>
      <c r="P2017" s="1" t="s">
        <v>1122</v>
      </c>
      <c r="Q2017" s="3">
        <v>0</v>
      </c>
      <c r="S2017" s="23" t="s">
        <v>5949</v>
      </c>
      <c r="T2017" s="23" t="s">
        <v>4931</v>
      </c>
      <c r="U2017" s="3">
        <v>34</v>
      </c>
      <c r="W2017" s="45" t="str">
        <f>HYPERLINK("http://ictvonline.org/taxonomy/p/taxonomy-history?taxnode_id=201855270","ICTVonline=201855270")</f>
        <v>ICTVonline=201855270</v>
      </c>
      <c r="AA2017" s="1">
        <v>201850000</v>
      </c>
      <c r="AB2017" s="1">
        <v>34</v>
      </c>
    </row>
    <row r="2018" spans="1:28" x14ac:dyDescent="0.15">
      <c r="A2018" s="1">
        <v>5130</v>
      </c>
      <c r="B2018" s="1" t="s">
        <v>7159</v>
      </c>
      <c r="L2018" s="1" t="s">
        <v>782</v>
      </c>
      <c r="M2018" s="1" t="s">
        <v>7149</v>
      </c>
      <c r="N2018" s="1" t="s">
        <v>1711</v>
      </c>
      <c r="P2018" s="1" t="s">
        <v>1630</v>
      </c>
      <c r="Q2018" s="3">
        <v>0</v>
      </c>
      <c r="S2018" s="23" t="s">
        <v>5949</v>
      </c>
      <c r="T2018" s="23" t="s">
        <v>4931</v>
      </c>
      <c r="U2018" s="3">
        <v>34</v>
      </c>
      <c r="W2018" s="45" t="str">
        <f>HYPERLINK("http://ictvonline.org/taxonomy/p/taxonomy-history?taxnode_id=201855271","ICTVonline=201855271")</f>
        <v>ICTVonline=201855271</v>
      </c>
      <c r="AA2018" s="1">
        <v>201850000</v>
      </c>
      <c r="AB2018" s="1">
        <v>34</v>
      </c>
    </row>
    <row r="2019" spans="1:28" x14ac:dyDescent="0.15">
      <c r="A2019" s="1">
        <v>5132</v>
      </c>
      <c r="B2019" s="1" t="s">
        <v>7159</v>
      </c>
      <c r="L2019" s="1" t="s">
        <v>782</v>
      </c>
      <c r="M2019" s="1" t="s">
        <v>7149</v>
      </c>
      <c r="N2019" s="1" t="s">
        <v>1711</v>
      </c>
      <c r="P2019" s="1" t="s">
        <v>4918</v>
      </c>
      <c r="Q2019" s="3">
        <v>0</v>
      </c>
      <c r="S2019" s="23" t="s">
        <v>5949</v>
      </c>
      <c r="T2019" s="23" t="s">
        <v>4931</v>
      </c>
      <c r="U2019" s="3">
        <v>34</v>
      </c>
      <c r="W2019" s="45" t="str">
        <f>HYPERLINK("http://ictvonline.org/taxonomy/p/taxonomy-history?taxnode_id=201855272","ICTVonline=201855272")</f>
        <v>ICTVonline=201855272</v>
      </c>
      <c r="AA2019" s="1">
        <v>201850000</v>
      </c>
      <c r="AB2019" s="1">
        <v>34</v>
      </c>
    </row>
    <row r="2020" spans="1:28" x14ac:dyDescent="0.15">
      <c r="A2020" s="1">
        <v>5134</v>
      </c>
      <c r="B2020" s="1" t="s">
        <v>7159</v>
      </c>
      <c r="L2020" s="1" t="s">
        <v>782</v>
      </c>
      <c r="M2020" s="1" t="s">
        <v>7149</v>
      </c>
      <c r="N2020" s="1" t="s">
        <v>1711</v>
      </c>
      <c r="P2020" s="1" t="s">
        <v>2625</v>
      </c>
      <c r="Q2020" s="3">
        <v>0</v>
      </c>
      <c r="S2020" s="23" t="s">
        <v>5949</v>
      </c>
      <c r="T2020" s="23" t="s">
        <v>4931</v>
      </c>
      <c r="U2020" s="3">
        <v>34</v>
      </c>
      <c r="W2020" s="45" t="str">
        <f>HYPERLINK("http://ictvonline.org/taxonomy/p/taxonomy-history?taxnode_id=201855273","ICTVonline=201855273")</f>
        <v>ICTVonline=201855273</v>
      </c>
      <c r="AA2020" s="1">
        <v>201850000</v>
      </c>
      <c r="AB2020" s="1">
        <v>34</v>
      </c>
    </row>
    <row r="2021" spans="1:28" x14ac:dyDescent="0.15">
      <c r="A2021" s="1">
        <v>5136</v>
      </c>
      <c r="B2021" s="1" t="s">
        <v>7159</v>
      </c>
      <c r="L2021" s="1" t="s">
        <v>782</v>
      </c>
      <c r="M2021" s="1" t="s">
        <v>7149</v>
      </c>
      <c r="N2021" s="1" t="s">
        <v>1711</v>
      </c>
      <c r="P2021" s="1" t="s">
        <v>1124</v>
      </c>
      <c r="Q2021" s="3">
        <v>0</v>
      </c>
      <c r="S2021" s="23" t="s">
        <v>5949</v>
      </c>
      <c r="T2021" s="23" t="s">
        <v>4931</v>
      </c>
      <c r="U2021" s="3">
        <v>34</v>
      </c>
      <c r="W2021" s="45" t="str">
        <f>HYPERLINK("http://ictvonline.org/taxonomy/p/taxonomy-history?taxnode_id=201855274","ICTVonline=201855274")</f>
        <v>ICTVonline=201855274</v>
      </c>
      <c r="AA2021" s="1">
        <v>201850000</v>
      </c>
      <c r="AB2021" s="1">
        <v>34</v>
      </c>
    </row>
    <row r="2022" spans="1:28" x14ac:dyDescent="0.15">
      <c r="A2022" s="1">
        <v>5138</v>
      </c>
      <c r="B2022" s="1" t="s">
        <v>7159</v>
      </c>
      <c r="L2022" s="1" t="s">
        <v>782</v>
      </c>
      <c r="M2022" s="1" t="s">
        <v>7149</v>
      </c>
      <c r="N2022" s="1" t="s">
        <v>1711</v>
      </c>
      <c r="P2022" s="1" t="s">
        <v>1044</v>
      </c>
      <c r="Q2022" s="3">
        <v>0</v>
      </c>
      <c r="S2022" s="23" t="s">
        <v>5949</v>
      </c>
      <c r="T2022" s="23" t="s">
        <v>4931</v>
      </c>
      <c r="U2022" s="3">
        <v>34</v>
      </c>
      <c r="W2022" s="45" t="str">
        <f>HYPERLINK("http://ictvonline.org/taxonomy/p/taxonomy-history?taxnode_id=201855275","ICTVonline=201855275")</f>
        <v>ICTVonline=201855275</v>
      </c>
      <c r="AA2022" s="1">
        <v>201850000</v>
      </c>
      <c r="AB2022" s="1">
        <v>34</v>
      </c>
    </row>
    <row r="2023" spans="1:28" x14ac:dyDescent="0.15">
      <c r="A2023" s="1">
        <v>5144</v>
      </c>
      <c r="B2023" s="1" t="s">
        <v>7159</v>
      </c>
      <c r="L2023" s="1" t="s">
        <v>782</v>
      </c>
      <c r="M2023" s="1" t="s">
        <v>7150</v>
      </c>
      <c r="N2023" s="1" t="s">
        <v>4015</v>
      </c>
      <c r="P2023" s="1" t="s">
        <v>789</v>
      </c>
      <c r="Q2023" s="3">
        <v>0</v>
      </c>
      <c r="S2023" s="23" t="s">
        <v>5949</v>
      </c>
      <c r="T2023" s="23" t="s">
        <v>4931</v>
      </c>
      <c r="U2023" s="3">
        <v>34</v>
      </c>
      <c r="W2023" s="45" t="str">
        <f>HYPERLINK("http://ictvonline.org/taxonomy/p/taxonomy-history?taxnode_id=201855195","ICTVonline=201855195")</f>
        <v>ICTVonline=201855195</v>
      </c>
      <c r="AA2023" s="1">
        <v>201850000</v>
      </c>
      <c r="AB2023" s="1">
        <v>34</v>
      </c>
    </row>
    <row r="2024" spans="1:28" x14ac:dyDescent="0.15">
      <c r="A2024" s="1">
        <v>5146</v>
      </c>
      <c r="B2024" s="1" t="s">
        <v>7159</v>
      </c>
      <c r="L2024" s="1" t="s">
        <v>782</v>
      </c>
      <c r="M2024" s="1" t="s">
        <v>7150</v>
      </c>
      <c r="N2024" s="1" t="s">
        <v>4015</v>
      </c>
      <c r="P2024" s="1" t="s">
        <v>205</v>
      </c>
      <c r="Q2024" s="3">
        <v>0</v>
      </c>
      <c r="S2024" s="23" t="s">
        <v>5949</v>
      </c>
      <c r="T2024" s="23" t="s">
        <v>4931</v>
      </c>
      <c r="U2024" s="3">
        <v>34</v>
      </c>
      <c r="W2024" s="45" t="str">
        <f>HYPERLINK("http://ictvonline.org/taxonomy/p/taxonomy-history?taxnode_id=201855196","ICTVonline=201855196")</f>
        <v>ICTVonline=201855196</v>
      </c>
      <c r="AA2024" s="1">
        <v>201850000</v>
      </c>
      <c r="AB2024" s="1">
        <v>34</v>
      </c>
    </row>
    <row r="2025" spans="1:28" x14ac:dyDescent="0.15">
      <c r="A2025" s="1">
        <v>5148</v>
      </c>
      <c r="B2025" s="1" t="s">
        <v>7159</v>
      </c>
      <c r="L2025" s="1" t="s">
        <v>782</v>
      </c>
      <c r="M2025" s="1" t="s">
        <v>7150</v>
      </c>
      <c r="N2025" s="1" t="s">
        <v>4015</v>
      </c>
      <c r="P2025" s="1" t="s">
        <v>792</v>
      </c>
      <c r="Q2025" s="3">
        <v>1</v>
      </c>
      <c r="S2025" s="23" t="s">
        <v>5949</v>
      </c>
      <c r="T2025" s="23" t="s">
        <v>4931</v>
      </c>
      <c r="U2025" s="3">
        <v>34</v>
      </c>
      <c r="W2025" s="45" t="str">
        <f>HYPERLINK("http://ictvonline.org/taxonomy/p/taxonomy-history?taxnode_id=201855197","ICTVonline=201855197")</f>
        <v>ICTVonline=201855197</v>
      </c>
      <c r="AA2025" s="1">
        <v>201850000</v>
      </c>
      <c r="AB2025" s="1">
        <v>34</v>
      </c>
    </row>
    <row r="2026" spans="1:28" x14ac:dyDescent="0.15">
      <c r="A2026" s="1">
        <v>5150</v>
      </c>
      <c r="B2026" s="1" t="s">
        <v>7159</v>
      </c>
      <c r="L2026" s="1" t="s">
        <v>782</v>
      </c>
      <c r="M2026" s="1" t="s">
        <v>7150</v>
      </c>
      <c r="N2026" s="1" t="s">
        <v>4015</v>
      </c>
      <c r="P2026" s="1" t="s">
        <v>206</v>
      </c>
      <c r="Q2026" s="3">
        <v>0</v>
      </c>
      <c r="S2026" s="23" t="s">
        <v>5949</v>
      </c>
      <c r="T2026" s="23" t="s">
        <v>4931</v>
      </c>
      <c r="U2026" s="3">
        <v>34</v>
      </c>
      <c r="W2026" s="45" t="str">
        <f>HYPERLINK("http://ictvonline.org/taxonomy/p/taxonomy-history?taxnode_id=201855198","ICTVonline=201855198")</f>
        <v>ICTVonline=201855198</v>
      </c>
      <c r="AA2026" s="1">
        <v>201850000</v>
      </c>
      <c r="AB2026" s="1">
        <v>34</v>
      </c>
    </row>
    <row r="2027" spans="1:28" x14ac:dyDescent="0.15">
      <c r="A2027" s="1">
        <v>5152</v>
      </c>
      <c r="B2027" s="1" t="s">
        <v>7159</v>
      </c>
      <c r="L2027" s="1" t="s">
        <v>782</v>
      </c>
      <c r="M2027" s="1" t="s">
        <v>7150</v>
      </c>
      <c r="N2027" s="1" t="s">
        <v>4015</v>
      </c>
      <c r="P2027" s="1" t="s">
        <v>564</v>
      </c>
      <c r="Q2027" s="3">
        <v>0</v>
      </c>
      <c r="S2027" s="23" t="s">
        <v>5949</v>
      </c>
      <c r="T2027" s="23" t="s">
        <v>4931</v>
      </c>
      <c r="U2027" s="3">
        <v>34</v>
      </c>
      <c r="W2027" s="45" t="str">
        <f>HYPERLINK("http://ictvonline.org/taxonomy/p/taxonomy-history?taxnode_id=201855199","ICTVonline=201855199")</f>
        <v>ICTVonline=201855199</v>
      </c>
      <c r="AA2027" s="1">
        <v>201850000</v>
      </c>
      <c r="AB2027" s="1">
        <v>34</v>
      </c>
    </row>
    <row r="2028" spans="1:28" x14ac:dyDescent="0.15">
      <c r="A2028" s="1">
        <v>5154</v>
      </c>
      <c r="B2028" s="1" t="s">
        <v>7159</v>
      </c>
      <c r="L2028" s="1" t="s">
        <v>782</v>
      </c>
      <c r="M2028" s="1" t="s">
        <v>7150</v>
      </c>
      <c r="N2028" s="1" t="s">
        <v>4015</v>
      </c>
      <c r="P2028" s="1" t="s">
        <v>1269</v>
      </c>
      <c r="Q2028" s="3">
        <v>0</v>
      </c>
      <c r="S2028" s="23" t="s">
        <v>5949</v>
      </c>
      <c r="T2028" s="23" t="s">
        <v>4931</v>
      </c>
      <c r="U2028" s="3">
        <v>34</v>
      </c>
      <c r="W2028" s="45" t="str">
        <f>HYPERLINK("http://ictvonline.org/taxonomy/p/taxonomy-history?taxnode_id=201855200","ICTVonline=201855200")</f>
        <v>ICTVonline=201855200</v>
      </c>
      <c r="AA2028" s="1">
        <v>201850000</v>
      </c>
      <c r="AB2028" s="1">
        <v>34</v>
      </c>
    </row>
    <row r="2029" spans="1:28" x14ac:dyDescent="0.15">
      <c r="A2029" s="1">
        <v>5156</v>
      </c>
      <c r="B2029" s="1" t="s">
        <v>7159</v>
      </c>
      <c r="L2029" s="1" t="s">
        <v>782</v>
      </c>
      <c r="M2029" s="1" t="s">
        <v>7150</v>
      </c>
      <c r="N2029" s="1" t="s">
        <v>4015</v>
      </c>
      <c r="P2029" s="1" t="s">
        <v>1270</v>
      </c>
      <c r="Q2029" s="3">
        <v>0</v>
      </c>
      <c r="S2029" s="23" t="s">
        <v>5949</v>
      </c>
      <c r="T2029" s="23" t="s">
        <v>4931</v>
      </c>
      <c r="U2029" s="3">
        <v>34</v>
      </c>
      <c r="W2029" s="45" t="str">
        <f>HYPERLINK("http://ictvonline.org/taxonomy/p/taxonomy-history?taxnode_id=201855201","ICTVonline=201855201")</f>
        <v>ICTVonline=201855201</v>
      </c>
      <c r="AA2029" s="1">
        <v>201850000</v>
      </c>
      <c r="AB2029" s="1">
        <v>34</v>
      </c>
    </row>
    <row r="2030" spans="1:28" x14ac:dyDescent="0.15">
      <c r="A2030" s="1">
        <v>5160</v>
      </c>
      <c r="B2030" s="1" t="s">
        <v>7159</v>
      </c>
      <c r="L2030" s="1" t="s">
        <v>782</v>
      </c>
      <c r="M2030" s="1" t="s">
        <v>7150</v>
      </c>
      <c r="N2030" s="1" t="s">
        <v>2275</v>
      </c>
      <c r="P2030" s="1" t="s">
        <v>874</v>
      </c>
      <c r="Q2030" s="3">
        <v>0</v>
      </c>
      <c r="S2030" s="23" t="s">
        <v>5949</v>
      </c>
      <c r="T2030" s="23" t="s">
        <v>4931</v>
      </c>
      <c r="U2030" s="3">
        <v>34</v>
      </c>
      <c r="W2030" s="45" t="str">
        <f>HYPERLINK("http://ictvonline.org/taxonomy/p/taxonomy-history?taxnode_id=201855203","ICTVonline=201855203")</f>
        <v>ICTVonline=201855203</v>
      </c>
      <c r="AA2030" s="1">
        <v>201850000</v>
      </c>
      <c r="AB2030" s="1">
        <v>34</v>
      </c>
    </row>
    <row r="2031" spans="1:28" x14ac:dyDescent="0.15">
      <c r="A2031" s="1">
        <v>5162</v>
      </c>
      <c r="B2031" s="1" t="s">
        <v>7159</v>
      </c>
      <c r="L2031" s="1" t="s">
        <v>782</v>
      </c>
      <c r="M2031" s="1" t="s">
        <v>7150</v>
      </c>
      <c r="N2031" s="1" t="s">
        <v>2275</v>
      </c>
      <c r="P2031" s="1" t="s">
        <v>875</v>
      </c>
      <c r="Q2031" s="3">
        <v>0</v>
      </c>
      <c r="S2031" s="23" t="s">
        <v>5949</v>
      </c>
      <c r="T2031" s="23" t="s">
        <v>4931</v>
      </c>
      <c r="U2031" s="3">
        <v>34</v>
      </c>
      <c r="W2031" s="45" t="str">
        <f>HYPERLINK("http://ictvonline.org/taxonomy/p/taxonomy-history?taxnode_id=201855204","ICTVonline=201855204")</f>
        <v>ICTVonline=201855204</v>
      </c>
      <c r="AA2031" s="1">
        <v>201850000</v>
      </c>
      <c r="AB2031" s="1">
        <v>34</v>
      </c>
    </row>
    <row r="2032" spans="1:28" x14ac:dyDescent="0.15">
      <c r="A2032" s="1">
        <v>5164</v>
      </c>
      <c r="B2032" s="1" t="s">
        <v>7159</v>
      </c>
      <c r="L2032" s="1" t="s">
        <v>782</v>
      </c>
      <c r="M2032" s="1" t="s">
        <v>7150</v>
      </c>
      <c r="N2032" s="1" t="s">
        <v>2275</v>
      </c>
      <c r="P2032" s="1" t="s">
        <v>7151</v>
      </c>
      <c r="Q2032" s="3">
        <v>0</v>
      </c>
      <c r="S2032" s="23" t="s">
        <v>5949</v>
      </c>
      <c r="T2032" s="23" t="s">
        <v>4929</v>
      </c>
      <c r="U2032" s="3">
        <v>34</v>
      </c>
      <c r="V2032" s="3" t="s">
        <v>7152</v>
      </c>
      <c r="W2032" s="45" t="str">
        <f>HYPERLINK("http://ictvonline.org/taxonomy/p/taxonomy-history?taxnode_id=201856636","ICTVonline=201856636")</f>
        <v>ICTVonline=201856636</v>
      </c>
      <c r="AA2032" s="1">
        <v>201850000</v>
      </c>
      <c r="AB2032" s="1">
        <v>34</v>
      </c>
    </row>
    <row r="2033" spans="1:28" x14ac:dyDescent="0.15">
      <c r="A2033" s="1">
        <v>5166</v>
      </c>
      <c r="B2033" s="1" t="s">
        <v>7159</v>
      </c>
      <c r="L2033" s="1" t="s">
        <v>782</v>
      </c>
      <c r="M2033" s="1" t="s">
        <v>7150</v>
      </c>
      <c r="N2033" s="1" t="s">
        <v>2275</v>
      </c>
      <c r="P2033" s="1" t="s">
        <v>876</v>
      </c>
      <c r="Q2033" s="3">
        <v>1</v>
      </c>
      <c r="S2033" s="23" t="s">
        <v>5949</v>
      </c>
      <c r="T2033" s="23" t="s">
        <v>4931</v>
      </c>
      <c r="U2033" s="3">
        <v>34</v>
      </c>
      <c r="W2033" s="45" t="str">
        <f>HYPERLINK("http://ictvonline.org/taxonomy/p/taxonomy-history?taxnode_id=201855205","ICTVonline=201855205")</f>
        <v>ICTVonline=201855205</v>
      </c>
      <c r="AA2033" s="1">
        <v>201850000</v>
      </c>
      <c r="AB2033" s="1">
        <v>34</v>
      </c>
    </row>
    <row r="2034" spans="1:28" x14ac:dyDescent="0.15">
      <c r="A2034" s="1">
        <v>5170</v>
      </c>
      <c r="B2034" s="1" t="s">
        <v>7159</v>
      </c>
      <c r="L2034" s="1" t="s">
        <v>782</v>
      </c>
      <c r="M2034" s="1" t="s">
        <v>7150</v>
      </c>
      <c r="N2034" s="1" t="s">
        <v>783</v>
      </c>
      <c r="P2034" s="1" t="s">
        <v>784</v>
      </c>
      <c r="Q2034" s="3">
        <v>0</v>
      </c>
      <c r="S2034" s="23" t="s">
        <v>5949</v>
      </c>
      <c r="T2034" s="23" t="s">
        <v>4931</v>
      </c>
      <c r="U2034" s="3">
        <v>34</v>
      </c>
      <c r="W2034" s="45" t="str">
        <f>HYPERLINK("http://ictvonline.org/taxonomy/p/taxonomy-history?taxnode_id=201855207","ICTVonline=201855207")</f>
        <v>ICTVonline=201855207</v>
      </c>
      <c r="AA2034" s="1">
        <v>201850000</v>
      </c>
      <c r="AB2034" s="1">
        <v>34</v>
      </c>
    </row>
    <row r="2035" spans="1:28" x14ac:dyDescent="0.15">
      <c r="A2035" s="1">
        <v>5172</v>
      </c>
      <c r="B2035" s="1" t="s">
        <v>7159</v>
      </c>
      <c r="L2035" s="1" t="s">
        <v>782</v>
      </c>
      <c r="M2035" s="1" t="s">
        <v>7150</v>
      </c>
      <c r="N2035" s="1" t="s">
        <v>783</v>
      </c>
      <c r="P2035" s="1" t="s">
        <v>2121</v>
      </c>
      <c r="Q2035" s="3">
        <v>0</v>
      </c>
      <c r="S2035" s="23" t="s">
        <v>5949</v>
      </c>
      <c r="T2035" s="23" t="s">
        <v>4931</v>
      </c>
      <c r="U2035" s="3">
        <v>34</v>
      </c>
      <c r="W2035" s="45" t="str">
        <f>HYPERLINK("http://ictvonline.org/taxonomy/p/taxonomy-history?taxnode_id=201855208","ICTVonline=201855208")</f>
        <v>ICTVonline=201855208</v>
      </c>
      <c r="AA2035" s="1">
        <v>201850000</v>
      </c>
      <c r="AB2035" s="1">
        <v>34</v>
      </c>
    </row>
    <row r="2036" spans="1:28" x14ac:dyDescent="0.15">
      <c r="A2036" s="1">
        <v>5174</v>
      </c>
      <c r="B2036" s="1" t="s">
        <v>7159</v>
      </c>
      <c r="L2036" s="1" t="s">
        <v>782</v>
      </c>
      <c r="M2036" s="1" t="s">
        <v>7150</v>
      </c>
      <c r="N2036" s="1" t="s">
        <v>783</v>
      </c>
      <c r="P2036" s="1" t="s">
        <v>1889</v>
      </c>
      <c r="Q2036" s="3">
        <v>0</v>
      </c>
      <c r="S2036" s="23" t="s">
        <v>5949</v>
      </c>
      <c r="T2036" s="23" t="s">
        <v>4931</v>
      </c>
      <c r="U2036" s="3">
        <v>34</v>
      </c>
      <c r="W2036" s="45" t="str">
        <f>HYPERLINK("http://ictvonline.org/taxonomy/p/taxonomy-history?taxnode_id=201855209","ICTVonline=201855209")</f>
        <v>ICTVonline=201855209</v>
      </c>
      <c r="AA2036" s="1">
        <v>201850000</v>
      </c>
      <c r="AB2036" s="1">
        <v>34</v>
      </c>
    </row>
    <row r="2037" spans="1:28" x14ac:dyDescent="0.15">
      <c r="A2037" s="1">
        <v>5176</v>
      </c>
      <c r="B2037" s="1" t="s">
        <v>7159</v>
      </c>
      <c r="L2037" s="1" t="s">
        <v>782</v>
      </c>
      <c r="M2037" s="1" t="s">
        <v>7150</v>
      </c>
      <c r="N2037" s="1" t="s">
        <v>783</v>
      </c>
      <c r="P2037" s="1" t="s">
        <v>785</v>
      </c>
      <c r="Q2037" s="3">
        <v>1</v>
      </c>
      <c r="S2037" s="23" t="s">
        <v>5949</v>
      </c>
      <c r="T2037" s="23" t="s">
        <v>4931</v>
      </c>
      <c r="U2037" s="3">
        <v>34</v>
      </c>
      <c r="W2037" s="45" t="str">
        <f>HYPERLINK("http://ictvonline.org/taxonomy/p/taxonomy-history?taxnode_id=201855210","ICTVonline=201855210")</f>
        <v>ICTVonline=201855210</v>
      </c>
      <c r="AA2037" s="1">
        <v>201850000</v>
      </c>
      <c r="AB2037" s="1">
        <v>34</v>
      </c>
    </row>
    <row r="2038" spans="1:28" x14ac:dyDescent="0.15">
      <c r="A2038" s="1">
        <v>5178</v>
      </c>
      <c r="B2038" s="1" t="s">
        <v>7159</v>
      </c>
      <c r="L2038" s="1" t="s">
        <v>782</v>
      </c>
      <c r="M2038" s="1" t="s">
        <v>7150</v>
      </c>
      <c r="N2038" s="1" t="s">
        <v>783</v>
      </c>
      <c r="P2038" s="1" t="s">
        <v>4016</v>
      </c>
      <c r="Q2038" s="3">
        <v>0</v>
      </c>
      <c r="S2038" s="23" t="s">
        <v>5949</v>
      </c>
      <c r="T2038" s="23" t="s">
        <v>4931</v>
      </c>
      <c r="U2038" s="3">
        <v>34</v>
      </c>
      <c r="W2038" s="45" t="str">
        <f>HYPERLINK("http://ictvonline.org/taxonomy/p/taxonomy-history?taxnode_id=201855211","ICTVonline=201855211")</f>
        <v>ICTVonline=201855211</v>
      </c>
      <c r="AA2038" s="1">
        <v>201850000</v>
      </c>
      <c r="AB2038" s="1">
        <v>34</v>
      </c>
    </row>
    <row r="2039" spans="1:28" x14ac:dyDescent="0.15">
      <c r="A2039" s="1">
        <v>5182</v>
      </c>
      <c r="B2039" s="1" t="s">
        <v>7159</v>
      </c>
      <c r="L2039" s="1" t="s">
        <v>782</v>
      </c>
      <c r="M2039" s="1" t="s">
        <v>7150</v>
      </c>
      <c r="N2039" s="1" t="s">
        <v>4017</v>
      </c>
      <c r="P2039" s="1" t="s">
        <v>791</v>
      </c>
      <c r="Q2039" s="3">
        <v>0</v>
      </c>
      <c r="S2039" s="23" t="s">
        <v>5949</v>
      </c>
      <c r="T2039" s="23" t="s">
        <v>4931</v>
      </c>
      <c r="U2039" s="3">
        <v>34</v>
      </c>
      <c r="W2039" s="45" t="str">
        <f>HYPERLINK("http://ictvonline.org/taxonomy/p/taxonomy-history?taxnode_id=201855215","ICTVonline=201855215")</f>
        <v>ICTVonline=201855215</v>
      </c>
      <c r="AA2039" s="1">
        <v>201850000</v>
      </c>
      <c r="AB2039" s="1">
        <v>34</v>
      </c>
    </row>
    <row r="2040" spans="1:28" x14ac:dyDescent="0.15">
      <c r="A2040" s="1">
        <v>5184</v>
      </c>
      <c r="B2040" s="1" t="s">
        <v>7159</v>
      </c>
      <c r="L2040" s="1" t="s">
        <v>782</v>
      </c>
      <c r="M2040" s="1" t="s">
        <v>7150</v>
      </c>
      <c r="N2040" s="1" t="s">
        <v>4017</v>
      </c>
      <c r="P2040" s="1" t="s">
        <v>1389</v>
      </c>
      <c r="Q2040" s="3">
        <v>0</v>
      </c>
      <c r="S2040" s="23" t="s">
        <v>5949</v>
      </c>
      <c r="T2040" s="23" t="s">
        <v>4931</v>
      </c>
      <c r="U2040" s="3">
        <v>34</v>
      </c>
      <c r="W2040" s="45" t="str">
        <f>HYPERLINK("http://ictvonline.org/taxonomy/p/taxonomy-history?taxnode_id=201855216","ICTVonline=201855216")</f>
        <v>ICTVonline=201855216</v>
      </c>
      <c r="AA2040" s="1">
        <v>201850000</v>
      </c>
      <c r="AB2040" s="1">
        <v>34</v>
      </c>
    </row>
    <row r="2041" spans="1:28" x14ac:dyDescent="0.15">
      <c r="A2041" s="1">
        <v>5186</v>
      </c>
      <c r="B2041" s="1" t="s">
        <v>7159</v>
      </c>
      <c r="L2041" s="1" t="s">
        <v>782</v>
      </c>
      <c r="M2041" s="1" t="s">
        <v>7150</v>
      </c>
      <c r="N2041" s="1" t="s">
        <v>4017</v>
      </c>
      <c r="P2041" s="1" t="s">
        <v>683</v>
      </c>
      <c r="Q2041" s="3">
        <v>0</v>
      </c>
      <c r="S2041" s="23" t="s">
        <v>5949</v>
      </c>
      <c r="T2041" s="23" t="s">
        <v>4931</v>
      </c>
      <c r="U2041" s="3">
        <v>34</v>
      </c>
      <c r="W2041" s="45" t="str">
        <f>HYPERLINK("http://ictvonline.org/taxonomy/p/taxonomy-history?taxnode_id=201855217","ICTVonline=201855217")</f>
        <v>ICTVonline=201855217</v>
      </c>
      <c r="AA2041" s="1">
        <v>201850000</v>
      </c>
      <c r="AB2041" s="1">
        <v>34</v>
      </c>
    </row>
    <row r="2042" spans="1:28" x14ac:dyDescent="0.15">
      <c r="A2042" s="1">
        <v>5188</v>
      </c>
      <c r="B2042" s="1" t="s">
        <v>7159</v>
      </c>
      <c r="L2042" s="1" t="s">
        <v>782</v>
      </c>
      <c r="M2042" s="1" t="s">
        <v>7150</v>
      </c>
      <c r="N2042" s="1" t="s">
        <v>4017</v>
      </c>
      <c r="P2042" s="1" t="s">
        <v>1271</v>
      </c>
      <c r="Q2042" s="3">
        <v>1</v>
      </c>
      <c r="S2042" s="23" t="s">
        <v>5949</v>
      </c>
      <c r="T2042" s="23" t="s">
        <v>4931</v>
      </c>
      <c r="U2042" s="3">
        <v>34</v>
      </c>
      <c r="W2042" s="45" t="str">
        <f>HYPERLINK("http://ictvonline.org/taxonomy/p/taxonomy-history?taxnode_id=201855218","ICTVonline=201855218")</f>
        <v>ICTVonline=201855218</v>
      </c>
      <c r="AA2042" s="1">
        <v>201850000</v>
      </c>
      <c r="AB2042" s="1">
        <v>34</v>
      </c>
    </row>
    <row r="2043" spans="1:28" x14ac:dyDescent="0.15">
      <c r="A2043" s="1">
        <v>5192</v>
      </c>
      <c r="B2043" s="1" t="s">
        <v>7159</v>
      </c>
      <c r="L2043" s="1" t="s">
        <v>782</v>
      </c>
      <c r="M2043" s="1" t="s">
        <v>7150</v>
      </c>
      <c r="N2043" s="1" t="s">
        <v>2276</v>
      </c>
      <c r="P2043" s="1" t="s">
        <v>871</v>
      </c>
      <c r="Q2043" s="3">
        <v>0</v>
      </c>
      <c r="S2043" s="23" t="s">
        <v>5949</v>
      </c>
      <c r="T2043" s="23" t="s">
        <v>4931</v>
      </c>
      <c r="U2043" s="3">
        <v>34</v>
      </c>
      <c r="W2043" s="45" t="str">
        <f>HYPERLINK("http://ictvonline.org/taxonomy/p/taxonomy-history?taxnode_id=201855220","ICTVonline=201855220")</f>
        <v>ICTVonline=201855220</v>
      </c>
      <c r="AA2043" s="1">
        <v>201850000</v>
      </c>
      <c r="AB2043" s="1">
        <v>34</v>
      </c>
    </row>
    <row r="2044" spans="1:28" x14ac:dyDescent="0.15">
      <c r="A2044" s="1">
        <v>5194</v>
      </c>
      <c r="B2044" s="1" t="s">
        <v>7159</v>
      </c>
      <c r="L2044" s="1" t="s">
        <v>782</v>
      </c>
      <c r="M2044" s="1" t="s">
        <v>7150</v>
      </c>
      <c r="N2044" s="1" t="s">
        <v>2276</v>
      </c>
      <c r="P2044" s="1" t="s">
        <v>873</v>
      </c>
      <c r="Q2044" s="3">
        <v>0</v>
      </c>
      <c r="S2044" s="23" t="s">
        <v>5949</v>
      </c>
      <c r="T2044" s="23" t="s">
        <v>4931</v>
      </c>
      <c r="U2044" s="3">
        <v>34</v>
      </c>
      <c r="W2044" s="45" t="str">
        <f>HYPERLINK("http://ictvonline.org/taxonomy/p/taxonomy-history?taxnode_id=201855221","ICTVonline=201855221")</f>
        <v>ICTVonline=201855221</v>
      </c>
      <c r="AA2044" s="1">
        <v>201850000</v>
      </c>
      <c r="AB2044" s="1">
        <v>34</v>
      </c>
    </row>
    <row r="2045" spans="1:28" x14ac:dyDescent="0.15">
      <c r="A2045" s="1">
        <v>5196</v>
      </c>
      <c r="B2045" s="1" t="s">
        <v>7159</v>
      </c>
      <c r="L2045" s="1" t="s">
        <v>782</v>
      </c>
      <c r="M2045" s="1" t="s">
        <v>7150</v>
      </c>
      <c r="N2045" s="1" t="s">
        <v>2276</v>
      </c>
      <c r="P2045" s="1" t="s">
        <v>1894</v>
      </c>
      <c r="Q2045" s="3">
        <v>1</v>
      </c>
      <c r="S2045" s="23" t="s">
        <v>5949</v>
      </c>
      <c r="T2045" s="23" t="s">
        <v>4931</v>
      </c>
      <c r="U2045" s="3">
        <v>34</v>
      </c>
      <c r="W2045" s="45" t="str">
        <f>HYPERLINK("http://ictvonline.org/taxonomy/p/taxonomy-history?taxnode_id=201855222","ICTVonline=201855222")</f>
        <v>ICTVonline=201855222</v>
      </c>
      <c r="AA2045" s="1">
        <v>201850000</v>
      </c>
      <c r="AB2045" s="1">
        <v>34</v>
      </c>
    </row>
    <row r="2046" spans="1:28" x14ac:dyDescent="0.15">
      <c r="A2046" s="1">
        <v>5200</v>
      </c>
      <c r="B2046" s="1" t="s">
        <v>7159</v>
      </c>
      <c r="L2046" s="1" t="s">
        <v>782</v>
      </c>
      <c r="M2046" s="1" t="s">
        <v>7150</v>
      </c>
      <c r="N2046" s="1" t="s">
        <v>2277</v>
      </c>
      <c r="P2046" s="1" t="s">
        <v>1388</v>
      </c>
      <c r="Q2046" s="3">
        <v>1</v>
      </c>
      <c r="S2046" s="23" t="s">
        <v>5949</v>
      </c>
      <c r="T2046" s="23" t="s">
        <v>4931</v>
      </c>
      <c r="U2046" s="3">
        <v>34</v>
      </c>
      <c r="W2046" s="45" t="str">
        <f>HYPERLINK("http://ictvonline.org/taxonomy/p/taxonomy-history?taxnode_id=201855228","ICTVonline=201855228")</f>
        <v>ICTVonline=201855228</v>
      </c>
      <c r="AA2046" s="1">
        <v>201850000</v>
      </c>
      <c r="AB2046" s="1">
        <v>34</v>
      </c>
    </row>
    <row r="2047" spans="1:28" x14ac:dyDescent="0.15">
      <c r="A2047" s="1">
        <v>5204</v>
      </c>
      <c r="B2047" s="1" t="s">
        <v>7159</v>
      </c>
      <c r="L2047" s="1" t="s">
        <v>782</v>
      </c>
      <c r="M2047" s="1" t="s">
        <v>7150</v>
      </c>
      <c r="N2047" s="1" t="s">
        <v>4018</v>
      </c>
      <c r="P2047" s="1" t="s">
        <v>1386</v>
      </c>
      <c r="Q2047" s="3">
        <v>0</v>
      </c>
      <c r="S2047" s="23" t="s">
        <v>5949</v>
      </c>
      <c r="T2047" s="23" t="s">
        <v>4931</v>
      </c>
      <c r="U2047" s="3">
        <v>34</v>
      </c>
      <c r="W2047" s="45" t="str">
        <f>HYPERLINK("http://ictvonline.org/taxonomy/p/taxonomy-history?taxnode_id=201855230","ICTVonline=201855230")</f>
        <v>ICTVonline=201855230</v>
      </c>
      <c r="AA2047" s="1">
        <v>201850000</v>
      </c>
      <c r="AB2047" s="1">
        <v>34</v>
      </c>
    </row>
    <row r="2048" spans="1:28" x14ac:dyDescent="0.15">
      <c r="A2048" s="1">
        <v>5206</v>
      </c>
      <c r="B2048" s="1" t="s">
        <v>7159</v>
      </c>
      <c r="L2048" s="1" t="s">
        <v>782</v>
      </c>
      <c r="M2048" s="1" t="s">
        <v>7150</v>
      </c>
      <c r="N2048" s="1" t="s">
        <v>4018</v>
      </c>
      <c r="P2048" s="1" t="s">
        <v>684</v>
      </c>
      <c r="Q2048" s="3">
        <v>1</v>
      </c>
      <c r="S2048" s="23" t="s">
        <v>5949</v>
      </c>
      <c r="T2048" s="23" t="s">
        <v>4931</v>
      </c>
      <c r="U2048" s="3">
        <v>34</v>
      </c>
      <c r="W2048" s="45" t="str">
        <f>HYPERLINK("http://ictvonline.org/taxonomy/p/taxonomy-history?taxnode_id=201855231","ICTVonline=201855231")</f>
        <v>ICTVonline=201855231</v>
      </c>
      <c r="AA2048" s="1">
        <v>201850000</v>
      </c>
      <c r="AB2048" s="1">
        <v>34</v>
      </c>
    </row>
    <row r="2049" spans="1:28" x14ac:dyDescent="0.15">
      <c r="A2049" s="1">
        <v>5208</v>
      </c>
      <c r="B2049" s="1" t="s">
        <v>7159</v>
      </c>
      <c r="L2049" s="1" t="s">
        <v>782</v>
      </c>
      <c r="M2049" s="1" t="s">
        <v>7150</v>
      </c>
      <c r="N2049" s="1" t="s">
        <v>4018</v>
      </c>
      <c r="P2049" s="1" t="s">
        <v>1268</v>
      </c>
      <c r="Q2049" s="3">
        <v>0</v>
      </c>
      <c r="S2049" s="23" t="s">
        <v>5949</v>
      </c>
      <c r="T2049" s="23" t="s">
        <v>4931</v>
      </c>
      <c r="U2049" s="3">
        <v>34</v>
      </c>
      <c r="W2049" s="45" t="str">
        <f>HYPERLINK("http://ictvonline.org/taxonomy/p/taxonomy-history?taxnode_id=201855232","ICTVonline=201855232")</f>
        <v>ICTVonline=201855232</v>
      </c>
      <c r="AA2049" s="1">
        <v>201850000</v>
      </c>
      <c r="AB2049" s="1">
        <v>34</v>
      </c>
    </row>
    <row r="2050" spans="1:28" x14ac:dyDescent="0.15">
      <c r="A2050" s="1">
        <v>5210</v>
      </c>
      <c r="B2050" s="1" t="s">
        <v>7159</v>
      </c>
      <c r="L2050" s="1" t="s">
        <v>782</v>
      </c>
      <c r="M2050" s="1" t="s">
        <v>7150</v>
      </c>
      <c r="N2050" s="1" t="s">
        <v>4018</v>
      </c>
      <c r="P2050" s="1" t="s">
        <v>207</v>
      </c>
      <c r="Q2050" s="3">
        <v>0</v>
      </c>
      <c r="S2050" s="23" t="s">
        <v>5949</v>
      </c>
      <c r="T2050" s="23" t="s">
        <v>4931</v>
      </c>
      <c r="U2050" s="3">
        <v>34</v>
      </c>
      <c r="W2050" s="45" t="str">
        <f>HYPERLINK("http://ictvonline.org/taxonomy/p/taxonomy-history?taxnode_id=201855233","ICTVonline=201855233")</f>
        <v>ICTVonline=201855233</v>
      </c>
      <c r="AA2050" s="1">
        <v>201850000</v>
      </c>
      <c r="AB2050" s="1">
        <v>34</v>
      </c>
    </row>
    <row r="2051" spans="1:28" x14ac:dyDescent="0.15">
      <c r="A2051" s="1">
        <v>5214</v>
      </c>
      <c r="B2051" s="1" t="s">
        <v>7159</v>
      </c>
      <c r="L2051" s="1" t="s">
        <v>782</v>
      </c>
      <c r="M2051" s="1" t="s">
        <v>7150</v>
      </c>
      <c r="N2051" s="1" t="s">
        <v>2278</v>
      </c>
      <c r="P2051" s="1" t="s">
        <v>2279</v>
      </c>
      <c r="Q2051" s="3">
        <v>1</v>
      </c>
      <c r="S2051" s="23" t="s">
        <v>5949</v>
      </c>
      <c r="T2051" s="23" t="s">
        <v>4931</v>
      </c>
      <c r="U2051" s="3">
        <v>34</v>
      </c>
      <c r="W2051" s="45" t="str">
        <f>HYPERLINK("http://ictvonline.org/taxonomy/p/taxonomy-history?taxnode_id=201855235","ICTVonline=201855235")</f>
        <v>ICTVonline=201855235</v>
      </c>
      <c r="AA2051" s="1">
        <v>201850000</v>
      </c>
      <c r="AB2051" s="1">
        <v>34</v>
      </c>
    </row>
    <row r="2052" spans="1:28" x14ac:dyDescent="0.15">
      <c r="A2052" s="1">
        <v>5218</v>
      </c>
      <c r="B2052" s="1" t="s">
        <v>7159</v>
      </c>
      <c r="L2052" s="1" t="s">
        <v>782</v>
      </c>
      <c r="M2052" s="1" t="s">
        <v>7150</v>
      </c>
      <c r="N2052" s="1" t="s">
        <v>1277</v>
      </c>
      <c r="P2052" s="1" t="s">
        <v>1278</v>
      </c>
      <c r="Q2052" s="3">
        <v>1</v>
      </c>
      <c r="S2052" s="23" t="s">
        <v>5949</v>
      </c>
      <c r="T2052" s="23" t="s">
        <v>4931</v>
      </c>
      <c r="U2052" s="3">
        <v>34</v>
      </c>
      <c r="W2052" s="45" t="str">
        <f>HYPERLINK("http://ictvonline.org/taxonomy/p/taxonomy-history?taxnode_id=201855237","ICTVonline=201855237")</f>
        <v>ICTVonline=201855237</v>
      </c>
      <c r="AA2052" s="1">
        <v>201850000</v>
      </c>
      <c r="AB2052" s="1">
        <v>34</v>
      </c>
    </row>
    <row r="2053" spans="1:28" x14ac:dyDescent="0.15">
      <c r="A2053" s="1">
        <v>5222</v>
      </c>
      <c r="B2053" s="1" t="s">
        <v>7159</v>
      </c>
      <c r="L2053" s="1" t="s">
        <v>782</v>
      </c>
      <c r="M2053" s="1" t="s">
        <v>7150</v>
      </c>
      <c r="N2053" s="1" t="s">
        <v>1895</v>
      </c>
      <c r="P2053" s="1" t="s">
        <v>208</v>
      </c>
      <c r="Q2053" s="3">
        <v>0</v>
      </c>
      <c r="S2053" s="23" t="s">
        <v>5949</v>
      </c>
      <c r="T2053" s="23" t="s">
        <v>4931</v>
      </c>
      <c r="U2053" s="3">
        <v>34</v>
      </c>
      <c r="W2053" s="45" t="str">
        <f>HYPERLINK("http://ictvonline.org/taxonomy/p/taxonomy-history?taxnode_id=201855239","ICTVonline=201855239")</f>
        <v>ICTVonline=201855239</v>
      </c>
      <c r="AA2053" s="1">
        <v>201850000</v>
      </c>
      <c r="AB2053" s="1">
        <v>34</v>
      </c>
    </row>
    <row r="2054" spans="1:28" x14ac:dyDescent="0.15">
      <c r="A2054" s="1">
        <v>5224</v>
      </c>
      <c r="B2054" s="1" t="s">
        <v>7159</v>
      </c>
      <c r="L2054" s="1" t="s">
        <v>782</v>
      </c>
      <c r="M2054" s="1" t="s">
        <v>7150</v>
      </c>
      <c r="N2054" s="1" t="s">
        <v>1895</v>
      </c>
      <c r="P2054" s="1" t="s">
        <v>1896</v>
      </c>
      <c r="Q2054" s="3">
        <v>1</v>
      </c>
      <c r="S2054" s="23" t="s">
        <v>5949</v>
      </c>
      <c r="T2054" s="23" t="s">
        <v>4931</v>
      </c>
      <c r="U2054" s="3">
        <v>34</v>
      </c>
      <c r="W2054" s="45" t="str">
        <f>HYPERLINK("http://ictvonline.org/taxonomy/p/taxonomy-history?taxnode_id=201855240","ICTVonline=201855240")</f>
        <v>ICTVonline=201855240</v>
      </c>
      <c r="AA2054" s="1">
        <v>201850000</v>
      </c>
      <c r="AB2054" s="1">
        <v>34</v>
      </c>
    </row>
    <row r="2055" spans="1:28" x14ac:dyDescent="0.15">
      <c r="A2055" s="1">
        <v>5226</v>
      </c>
      <c r="B2055" s="1" t="s">
        <v>7159</v>
      </c>
      <c r="L2055" s="1" t="s">
        <v>782</v>
      </c>
      <c r="M2055" s="1" t="s">
        <v>7150</v>
      </c>
      <c r="N2055" s="1" t="s">
        <v>1895</v>
      </c>
      <c r="P2055" s="1" t="s">
        <v>2736</v>
      </c>
      <c r="Q2055" s="3">
        <v>0</v>
      </c>
      <c r="S2055" s="23" t="s">
        <v>5949</v>
      </c>
      <c r="T2055" s="23" t="s">
        <v>4931</v>
      </c>
      <c r="U2055" s="3">
        <v>34</v>
      </c>
      <c r="W2055" s="45" t="str">
        <f>HYPERLINK("http://ictvonline.org/taxonomy/p/taxonomy-history?taxnode_id=201855241","ICTVonline=201855241")</f>
        <v>ICTVonline=201855241</v>
      </c>
      <c r="AA2055" s="1">
        <v>201850000</v>
      </c>
      <c r="AB2055" s="1">
        <v>34</v>
      </c>
    </row>
    <row r="2056" spans="1:28" x14ac:dyDescent="0.15">
      <c r="A2056" s="1">
        <v>5230</v>
      </c>
      <c r="B2056" s="1" t="s">
        <v>7159</v>
      </c>
      <c r="L2056" s="1" t="s">
        <v>782</v>
      </c>
      <c r="M2056" s="1" t="s">
        <v>7150</v>
      </c>
      <c r="N2056" s="1" t="s">
        <v>4019</v>
      </c>
      <c r="P2056" s="1" t="s">
        <v>7153</v>
      </c>
      <c r="Q2056" s="3">
        <v>0</v>
      </c>
      <c r="S2056" s="23" t="s">
        <v>5949</v>
      </c>
      <c r="T2056" s="23" t="s">
        <v>4929</v>
      </c>
      <c r="U2056" s="3">
        <v>34</v>
      </c>
      <c r="V2056" s="3" t="s">
        <v>7154</v>
      </c>
      <c r="W2056" s="45" t="str">
        <f>HYPERLINK("http://ictvonline.org/taxonomy/p/taxonomy-history?taxnode_id=201856290","ICTVonline=201856290")</f>
        <v>ICTVonline=201856290</v>
      </c>
      <c r="AA2056" s="1">
        <v>201850000</v>
      </c>
      <c r="AB2056" s="1">
        <v>34</v>
      </c>
    </row>
    <row r="2057" spans="1:28" x14ac:dyDescent="0.15">
      <c r="A2057" s="1">
        <v>5232</v>
      </c>
      <c r="B2057" s="1" t="s">
        <v>7159</v>
      </c>
      <c r="L2057" s="1" t="s">
        <v>782</v>
      </c>
      <c r="M2057" s="1" t="s">
        <v>7150</v>
      </c>
      <c r="N2057" s="1" t="s">
        <v>4019</v>
      </c>
      <c r="P2057" s="1" t="s">
        <v>2737</v>
      </c>
      <c r="Q2057" s="3">
        <v>0</v>
      </c>
      <c r="S2057" s="23" t="s">
        <v>5949</v>
      </c>
      <c r="T2057" s="23" t="s">
        <v>4931</v>
      </c>
      <c r="U2057" s="3">
        <v>34</v>
      </c>
      <c r="W2057" s="45" t="str">
        <f>HYPERLINK("http://ictvonline.org/taxonomy/p/taxonomy-history?taxnode_id=201855243","ICTVonline=201855243")</f>
        <v>ICTVonline=201855243</v>
      </c>
      <c r="AA2057" s="1">
        <v>201850000</v>
      </c>
      <c r="AB2057" s="1">
        <v>34</v>
      </c>
    </row>
    <row r="2058" spans="1:28" x14ac:dyDescent="0.15">
      <c r="A2058" s="1">
        <v>5234</v>
      </c>
      <c r="B2058" s="1" t="s">
        <v>7159</v>
      </c>
      <c r="L2058" s="1" t="s">
        <v>782</v>
      </c>
      <c r="M2058" s="1" t="s">
        <v>7150</v>
      </c>
      <c r="N2058" s="1" t="s">
        <v>4019</v>
      </c>
      <c r="P2058" s="1" t="s">
        <v>2738</v>
      </c>
      <c r="Q2058" s="3">
        <v>0</v>
      </c>
      <c r="S2058" s="23" t="s">
        <v>5949</v>
      </c>
      <c r="T2058" s="23" t="s">
        <v>4931</v>
      </c>
      <c r="U2058" s="3">
        <v>34</v>
      </c>
      <c r="W2058" s="45" t="str">
        <f>HYPERLINK("http://ictvonline.org/taxonomy/p/taxonomy-history?taxnode_id=201855244","ICTVonline=201855244")</f>
        <v>ICTVonline=201855244</v>
      </c>
      <c r="AA2058" s="1">
        <v>201850000</v>
      </c>
      <c r="AB2058" s="1">
        <v>34</v>
      </c>
    </row>
    <row r="2059" spans="1:28" x14ac:dyDescent="0.15">
      <c r="A2059" s="1">
        <v>5236</v>
      </c>
      <c r="B2059" s="1" t="s">
        <v>7159</v>
      </c>
      <c r="L2059" s="1" t="s">
        <v>782</v>
      </c>
      <c r="M2059" s="1" t="s">
        <v>7150</v>
      </c>
      <c r="N2059" s="1" t="s">
        <v>4019</v>
      </c>
      <c r="P2059" s="1" t="s">
        <v>2001</v>
      </c>
      <c r="Q2059" s="3">
        <v>1</v>
      </c>
      <c r="S2059" s="23" t="s">
        <v>5949</v>
      </c>
      <c r="T2059" s="23" t="s">
        <v>4931</v>
      </c>
      <c r="U2059" s="3">
        <v>34</v>
      </c>
      <c r="W2059" s="45" t="str">
        <f>HYPERLINK("http://ictvonline.org/taxonomy/p/taxonomy-history?taxnode_id=201855245","ICTVonline=201855245")</f>
        <v>ICTVonline=201855245</v>
      </c>
      <c r="AA2059" s="1">
        <v>201850000</v>
      </c>
      <c r="AB2059" s="1">
        <v>34</v>
      </c>
    </row>
    <row r="2060" spans="1:28" x14ac:dyDescent="0.15">
      <c r="A2060" s="1">
        <v>5238</v>
      </c>
      <c r="B2060" s="1" t="s">
        <v>7159</v>
      </c>
      <c r="L2060" s="1" t="s">
        <v>782</v>
      </c>
      <c r="M2060" s="1" t="s">
        <v>7150</v>
      </c>
      <c r="N2060" s="1" t="s">
        <v>4019</v>
      </c>
      <c r="P2060" s="1" t="s">
        <v>2739</v>
      </c>
      <c r="Q2060" s="3">
        <v>0</v>
      </c>
      <c r="S2060" s="23" t="s">
        <v>5949</v>
      </c>
      <c r="T2060" s="23" t="s">
        <v>4931</v>
      </c>
      <c r="U2060" s="3">
        <v>34</v>
      </c>
      <c r="W2060" s="45" t="str">
        <f>HYPERLINK("http://ictvonline.org/taxonomy/p/taxonomy-history?taxnode_id=201855246","ICTVonline=201855246")</f>
        <v>ICTVonline=201855246</v>
      </c>
      <c r="AA2060" s="1">
        <v>201850000</v>
      </c>
      <c r="AB2060" s="1">
        <v>34</v>
      </c>
    </row>
    <row r="2061" spans="1:28" x14ac:dyDescent="0.15">
      <c r="A2061" s="1">
        <v>5240</v>
      </c>
      <c r="B2061" s="1" t="s">
        <v>7159</v>
      </c>
      <c r="L2061" s="1" t="s">
        <v>782</v>
      </c>
      <c r="M2061" s="1" t="s">
        <v>7150</v>
      </c>
      <c r="N2061" s="1" t="s">
        <v>4019</v>
      </c>
      <c r="P2061" s="1" t="s">
        <v>2740</v>
      </c>
      <c r="Q2061" s="3">
        <v>0</v>
      </c>
      <c r="S2061" s="23" t="s">
        <v>5949</v>
      </c>
      <c r="T2061" s="23" t="s">
        <v>4931</v>
      </c>
      <c r="U2061" s="3">
        <v>34</v>
      </c>
      <c r="W2061" s="45" t="str">
        <f>HYPERLINK("http://ictvonline.org/taxonomy/p/taxonomy-history?taxnode_id=201855247","ICTVonline=201855247")</f>
        <v>ICTVonline=201855247</v>
      </c>
      <c r="AA2061" s="1">
        <v>201850000</v>
      </c>
      <c r="AB2061" s="1">
        <v>34</v>
      </c>
    </row>
    <row r="2062" spans="1:28" x14ac:dyDescent="0.15">
      <c r="A2062" s="1">
        <v>5244</v>
      </c>
      <c r="B2062" s="1" t="s">
        <v>7159</v>
      </c>
      <c r="L2062" s="1" t="s">
        <v>782</v>
      </c>
      <c r="M2062" s="1" t="s">
        <v>7150</v>
      </c>
      <c r="N2062" s="1" t="s">
        <v>1897</v>
      </c>
      <c r="P2062" s="1" t="s">
        <v>1898</v>
      </c>
      <c r="Q2062" s="3">
        <v>0</v>
      </c>
      <c r="S2062" s="23" t="s">
        <v>5949</v>
      </c>
      <c r="T2062" s="23" t="s">
        <v>4931</v>
      </c>
      <c r="U2062" s="3">
        <v>34</v>
      </c>
      <c r="W2062" s="45" t="str">
        <f>HYPERLINK("http://ictvonline.org/taxonomy/p/taxonomy-history?taxnode_id=201855249","ICTVonline=201855249")</f>
        <v>ICTVonline=201855249</v>
      </c>
      <c r="AA2062" s="1">
        <v>201850000</v>
      </c>
      <c r="AB2062" s="1">
        <v>34</v>
      </c>
    </row>
    <row r="2063" spans="1:28" x14ac:dyDescent="0.15">
      <c r="A2063" s="1">
        <v>5246</v>
      </c>
      <c r="B2063" s="1" t="s">
        <v>7159</v>
      </c>
      <c r="L2063" s="1" t="s">
        <v>782</v>
      </c>
      <c r="M2063" s="1" t="s">
        <v>7150</v>
      </c>
      <c r="N2063" s="1" t="s">
        <v>1897</v>
      </c>
      <c r="P2063" s="1" t="s">
        <v>1899</v>
      </c>
      <c r="Q2063" s="3">
        <v>0</v>
      </c>
      <c r="S2063" s="23" t="s">
        <v>5949</v>
      </c>
      <c r="T2063" s="23" t="s">
        <v>4931</v>
      </c>
      <c r="U2063" s="3">
        <v>34</v>
      </c>
      <c r="W2063" s="45" t="str">
        <f>HYPERLINK("http://ictvonline.org/taxonomy/p/taxonomy-history?taxnode_id=201855250","ICTVonline=201855250")</f>
        <v>ICTVonline=201855250</v>
      </c>
      <c r="AA2063" s="1">
        <v>201850000</v>
      </c>
      <c r="AB2063" s="1">
        <v>34</v>
      </c>
    </row>
    <row r="2064" spans="1:28" x14ac:dyDescent="0.15">
      <c r="A2064" s="1">
        <v>5248</v>
      </c>
      <c r="B2064" s="1" t="s">
        <v>7159</v>
      </c>
      <c r="L2064" s="1" t="s">
        <v>782</v>
      </c>
      <c r="M2064" s="1" t="s">
        <v>7150</v>
      </c>
      <c r="N2064" s="1" t="s">
        <v>1897</v>
      </c>
      <c r="P2064" s="1" t="s">
        <v>7155</v>
      </c>
      <c r="Q2064" s="3">
        <v>0</v>
      </c>
      <c r="S2064" s="23" t="s">
        <v>5949</v>
      </c>
      <c r="W2064" s="45" t="str">
        <f>HYPERLINK("http://ictvonline.org/taxonomy/p/taxonomy-history?taxnode_id=201855251","ICTVonline=201855251")</f>
        <v>ICTVonline=201855251</v>
      </c>
      <c r="AA2064" s="1">
        <v>201850000</v>
      </c>
      <c r="AB2064" s="1">
        <v>34</v>
      </c>
    </row>
    <row r="2065" spans="1:28" x14ac:dyDescent="0.15">
      <c r="A2065" s="1">
        <v>5250</v>
      </c>
      <c r="B2065" s="1" t="s">
        <v>7159</v>
      </c>
      <c r="L2065" s="1" t="s">
        <v>782</v>
      </c>
      <c r="M2065" s="1" t="s">
        <v>7150</v>
      </c>
      <c r="N2065" s="1" t="s">
        <v>1897</v>
      </c>
      <c r="P2065" s="1" t="s">
        <v>1900</v>
      </c>
      <c r="Q2065" s="3">
        <v>0</v>
      </c>
      <c r="S2065" s="23" t="s">
        <v>5949</v>
      </c>
      <c r="T2065" s="23" t="s">
        <v>4931</v>
      </c>
      <c r="U2065" s="3">
        <v>34</v>
      </c>
      <c r="W2065" s="45" t="str">
        <f>HYPERLINK("http://ictvonline.org/taxonomy/p/taxonomy-history?taxnode_id=201855252","ICTVonline=201855252")</f>
        <v>ICTVonline=201855252</v>
      </c>
      <c r="AA2065" s="1">
        <v>201850000</v>
      </c>
      <c r="AB2065" s="1">
        <v>34</v>
      </c>
    </row>
    <row r="2066" spans="1:28" x14ac:dyDescent="0.15">
      <c r="A2066" s="1">
        <v>5252</v>
      </c>
      <c r="B2066" s="1" t="s">
        <v>7159</v>
      </c>
      <c r="L2066" s="1" t="s">
        <v>782</v>
      </c>
      <c r="M2066" s="1" t="s">
        <v>7150</v>
      </c>
      <c r="N2066" s="1" t="s">
        <v>1897</v>
      </c>
      <c r="P2066" s="1" t="s">
        <v>1901</v>
      </c>
      <c r="Q2066" s="3">
        <v>0</v>
      </c>
      <c r="S2066" s="23" t="s">
        <v>5949</v>
      </c>
      <c r="T2066" s="23" t="s">
        <v>4931</v>
      </c>
      <c r="U2066" s="3">
        <v>34</v>
      </c>
      <c r="W2066" s="45" t="str">
        <f>HYPERLINK("http://ictvonline.org/taxonomy/p/taxonomy-history?taxnode_id=201855253","ICTVonline=201855253")</f>
        <v>ICTVonline=201855253</v>
      </c>
      <c r="AA2066" s="1">
        <v>201850000</v>
      </c>
      <c r="AB2066" s="1">
        <v>34</v>
      </c>
    </row>
    <row r="2067" spans="1:28" x14ac:dyDescent="0.15">
      <c r="A2067" s="1">
        <v>5254</v>
      </c>
      <c r="B2067" s="1" t="s">
        <v>7159</v>
      </c>
      <c r="L2067" s="1" t="s">
        <v>782</v>
      </c>
      <c r="M2067" s="1" t="s">
        <v>7150</v>
      </c>
      <c r="N2067" s="1" t="s">
        <v>1897</v>
      </c>
      <c r="P2067" s="1" t="s">
        <v>1902</v>
      </c>
      <c r="Q2067" s="3">
        <v>0</v>
      </c>
      <c r="S2067" s="23" t="s">
        <v>5949</v>
      </c>
      <c r="T2067" s="23" t="s">
        <v>4931</v>
      </c>
      <c r="U2067" s="3">
        <v>34</v>
      </c>
      <c r="W2067" s="45" t="str">
        <f>HYPERLINK("http://ictvonline.org/taxonomy/p/taxonomy-history?taxnode_id=201855254","ICTVonline=201855254")</f>
        <v>ICTVonline=201855254</v>
      </c>
      <c r="AA2067" s="1">
        <v>201850000</v>
      </c>
      <c r="AB2067" s="1">
        <v>34</v>
      </c>
    </row>
    <row r="2068" spans="1:28" x14ac:dyDescent="0.15">
      <c r="A2068" s="1">
        <v>5256</v>
      </c>
      <c r="B2068" s="1" t="s">
        <v>7159</v>
      </c>
      <c r="L2068" s="1" t="s">
        <v>782</v>
      </c>
      <c r="M2068" s="1" t="s">
        <v>7150</v>
      </c>
      <c r="N2068" s="1" t="s">
        <v>1897</v>
      </c>
      <c r="P2068" s="1" t="s">
        <v>1930</v>
      </c>
      <c r="Q2068" s="3">
        <v>0</v>
      </c>
      <c r="S2068" s="23" t="s">
        <v>5949</v>
      </c>
      <c r="T2068" s="23" t="s">
        <v>4931</v>
      </c>
      <c r="U2068" s="3">
        <v>34</v>
      </c>
      <c r="W2068" s="45" t="str">
        <f>HYPERLINK("http://ictvonline.org/taxonomy/p/taxonomy-history?taxnode_id=201855255","ICTVonline=201855255")</f>
        <v>ICTVonline=201855255</v>
      </c>
      <c r="AA2068" s="1">
        <v>201850000</v>
      </c>
      <c r="AB2068" s="1">
        <v>34</v>
      </c>
    </row>
    <row r="2069" spans="1:28" x14ac:dyDescent="0.15">
      <c r="A2069" s="1">
        <v>5258</v>
      </c>
      <c r="B2069" s="1" t="s">
        <v>7159</v>
      </c>
      <c r="L2069" s="1" t="s">
        <v>782</v>
      </c>
      <c r="M2069" s="1" t="s">
        <v>7150</v>
      </c>
      <c r="N2069" s="1" t="s">
        <v>1897</v>
      </c>
      <c r="P2069" s="1" t="s">
        <v>1931</v>
      </c>
      <c r="Q2069" s="3">
        <v>0</v>
      </c>
      <c r="S2069" s="23" t="s">
        <v>5949</v>
      </c>
      <c r="T2069" s="23" t="s">
        <v>4931</v>
      </c>
      <c r="U2069" s="3">
        <v>34</v>
      </c>
      <c r="W2069" s="45" t="str">
        <f>HYPERLINK("http://ictvonline.org/taxonomy/p/taxonomy-history?taxnode_id=201855256","ICTVonline=201855256")</f>
        <v>ICTVonline=201855256</v>
      </c>
      <c r="AA2069" s="1">
        <v>201850000</v>
      </c>
      <c r="AB2069" s="1">
        <v>34</v>
      </c>
    </row>
    <row r="2070" spans="1:28" x14ac:dyDescent="0.15">
      <c r="A2070" s="1">
        <v>5260</v>
      </c>
      <c r="B2070" s="1" t="s">
        <v>7159</v>
      </c>
      <c r="L2070" s="1" t="s">
        <v>782</v>
      </c>
      <c r="M2070" s="1" t="s">
        <v>7150</v>
      </c>
      <c r="N2070" s="1" t="s">
        <v>1897</v>
      </c>
      <c r="P2070" s="1" t="s">
        <v>1932</v>
      </c>
      <c r="Q2070" s="3">
        <v>0</v>
      </c>
      <c r="S2070" s="23" t="s">
        <v>5949</v>
      </c>
      <c r="T2070" s="23" t="s">
        <v>4931</v>
      </c>
      <c r="U2070" s="3">
        <v>34</v>
      </c>
      <c r="W2070" s="45" t="str">
        <f>HYPERLINK("http://ictvonline.org/taxonomy/p/taxonomy-history?taxnode_id=201855257","ICTVonline=201855257")</f>
        <v>ICTVonline=201855257</v>
      </c>
      <c r="AA2070" s="1">
        <v>201850000</v>
      </c>
      <c r="AB2070" s="1">
        <v>34</v>
      </c>
    </row>
    <row r="2071" spans="1:28" x14ac:dyDescent="0.15">
      <c r="A2071" s="1">
        <v>5262</v>
      </c>
      <c r="B2071" s="1" t="s">
        <v>7159</v>
      </c>
      <c r="L2071" s="1" t="s">
        <v>782</v>
      </c>
      <c r="M2071" s="1" t="s">
        <v>7150</v>
      </c>
      <c r="N2071" s="1" t="s">
        <v>1897</v>
      </c>
      <c r="P2071" s="1" t="s">
        <v>1933</v>
      </c>
      <c r="Q2071" s="3">
        <v>0</v>
      </c>
      <c r="S2071" s="23" t="s">
        <v>5949</v>
      </c>
      <c r="T2071" s="23" t="s">
        <v>4931</v>
      </c>
      <c r="U2071" s="3">
        <v>34</v>
      </c>
      <c r="W2071" s="45" t="str">
        <f>HYPERLINK("http://ictvonline.org/taxonomy/p/taxonomy-history?taxnode_id=201855258","ICTVonline=201855258")</f>
        <v>ICTVonline=201855258</v>
      </c>
      <c r="AA2071" s="1">
        <v>201850000</v>
      </c>
      <c r="AB2071" s="1">
        <v>34</v>
      </c>
    </row>
    <row r="2072" spans="1:28" x14ac:dyDescent="0.15">
      <c r="A2072" s="1">
        <v>5264</v>
      </c>
      <c r="B2072" s="1" t="s">
        <v>7159</v>
      </c>
      <c r="L2072" s="1" t="s">
        <v>782</v>
      </c>
      <c r="M2072" s="1" t="s">
        <v>7150</v>
      </c>
      <c r="N2072" s="1" t="s">
        <v>1897</v>
      </c>
      <c r="P2072" s="1" t="s">
        <v>1934</v>
      </c>
      <c r="Q2072" s="3">
        <v>0</v>
      </c>
      <c r="S2072" s="23" t="s">
        <v>5949</v>
      </c>
      <c r="T2072" s="23" t="s">
        <v>4931</v>
      </c>
      <c r="U2072" s="3">
        <v>34</v>
      </c>
      <c r="W2072" s="45" t="str">
        <f>HYPERLINK("http://ictvonline.org/taxonomy/p/taxonomy-history?taxnode_id=201855259","ICTVonline=201855259")</f>
        <v>ICTVonline=201855259</v>
      </c>
      <c r="AA2072" s="1">
        <v>201850000</v>
      </c>
      <c r="AB2072" s="1">
        <v>34</v>
      </c>
    </row>
    <row r="2073" spans="1:28" x14ac:dyDescent="0.15">
      <c r="A2073" s="1">
        <v>5266</v>
      </c>
      <c r="B2073" s="1" t="s">
        <v>7159</v>
      </c>
      <c r="L2073" s="1" t="s">
        <v>782</v>
      </c>
      <c r="M2073" s="1" t="s">
        <v>7150</v>
      </c>
      <c r="N2073" s="1" t="s">
        <v>1897</v>
      </c>
      <c r="P2073" s="1" t="s">
        <v>1935</v>
      </c>
      <c r="Q2073" s="3">
        <v>0</v>
      </c>
      <c r="S2073" s="23" t="s">
        <v>5949</v>
      </c>
      <c r="T2073" s="23" t="s">
        <v>4931</v>
      </c>
      <c r="U2073" s="3">
        <v>34</v>
      </c>
      <c r="W2073" s="45" t="str">
        <f>HYPERLINK("http://ictvonline.org/taxonomy/p/taxonomy-history?taxnode_id=201855260","ICTVonline=201855260")</f>
        <v>ICTVonline=201855260</v>
      </c>
      <c r="AA2073" s="1">
        <v>201850000</v>
      </c>
      <c r="AB2073" s="1">
        <v>34</v>
      </c>
    </row>
    <row r="2074" spans="1:28" x14ac:dyDescent="0.15">
      <c r="A2074" s="1">
        <v>5268</v>
      </c>
      <c r="B2074" s="1" t="s">
        <v>7159</v>
      </c>
      <c r="L2074" s="1" t="s">
        <v>782</v>
      </c>
      <c r="M2074" s="1" t="s">
        <v>7150</v>
      </c>
      <c r="N2074" s="1" t="s">
        <v>1897</v>
      </c>
      <c r="P2074" s="1" t="s">
        <v>1936</v>
      </c>
      <c r="Q2074" s="3">
        <v>0</v>
      </c>
      <c r="S2074" s="23" t="s">
        <v>5949</v>
      </c>
      <c r="T2074" s="23" t="s">
        <v>4931</v>
      </c>
      <c r="U2074" s="3">
        <v>34</v>
      </c>
      <c r="W2074" s="45" t="str">
        <f>HYPERLINK("http://ictvonline.org/taxonomy/p/taxonomy-history?taxnode_id=201855261","ICTVonline=201855261")</f>
        <v>ICTVonline=201855261</v>
      </c>
      <c r="AA2074" s="1">
        <v>201850000</v>
      </c>
      <c r="AB2074" s="1">
        <v>34</v>
      </c>
    </row>
    <row r="2075" spans="1:28" x14ac:dyDescent="0.15">
      <c r="A2075" s="1">
        <v>5270</v>
      </c>
      <c r="B2075" s="1" t="s">
        <v>7159</v>
      </c>
      <c r="L2075" s="1" t="s">
        <v>782</v>
      </c>
      <c r="M2075" s="1" t="s">
        <v>7150</v>
      </c>
      <c r="N2075" s="1" t="s">
        <v>1897</v>
      </c>
      <c r="P2075" s="1" t="s">
        <v>1937</v>
      </c>
      <c r="Q2075" s="3">
        <v>0</v>
      </c>
      <c r="S2075" s="23" t="s">
        <v>5949</v>
      </c>
      <c r="T2075" s="23" t="s">
        <v>4931</v>
      </c>
      <c r="U2075" s="3">
        <v>34</v>
      </c>
      <c r="W2075" s="45" t="str">
        <f>HYPERLINK("http://ictvonline.org/taxonomy/p/taxonomy-history?taxnode_id=201855262","ICTVonline=201855262")</f>
        <v>ICTVonline=201855262</v>
      </c>
      <c r="AA2075" s="1">
        <v>201850000</v>
      </c>
      <c r="AB2075" s="1">
        <v>34</v>
      </c>
    </row>
    <row r="2076" spans="1:28" x14ac:dyDescent="0.15">
      <c r="A2076" s="1">
        <v>5272</v>
      </c>
      <c r="B2076" s="1" t="s">
        <v>7159</v>
      </c>
      <c r="L2076" s="1" t="s">
        <v>782</v>
      </c>
      <c r="M2076" s="1" t="s">
        <v>7150</v>
      </c>
      <c r="N2076" s="1" t="s">
        <v>1897</v>
      </c>
      <c r="P2076" s="1" t="s">
        <v>885</v>
      </c>
      <c r="Q2076" s="3">
        <v>0</v>
      </c>
      <c r="S2076" s="23" t="s">
        <v>5949</v>
      </c>
      <c r="T2076" s="23" t="s">
        <v>4931</v>
      </c>
      <c r="U2076" s="3">
        <v>34</v>
      </c>
      <c r="W2076" s="45" t="str">
        <f>HYPERLINK("http://ictvonline.org/taxonomy/p/taxonomy-history?taxnode_id=201855263","ICTVonline=201855263")</f>
        <v>ICTVonline=201855263</v>
      </c>
      <c r="AA2076" s="1">
        <v>201850000</v>
      </c>
      <c r="AB2076" s="1">
        <v>34</v>
      </c>
    </row>
    <row r="2077" spans="1:28" x14ac:dyDescent="0.15">
      <c r="A2077" s="1">
        <v>5274</v>
      </c>
      <c r="B2077" s="1" t="s">
        <v>7159</v>
      </c>
      <c r="L2077" s="1" t="s">
        <v>782</v>
      </c>
      <c r="M2077" s="1" t="s">
        <v>7150</v>
      </c>
      <c r="N2077" s="1" t="s">
        <v>1897</v>
      </c>
      <c r="P2077" s="1" t="s">
        <v>1903</v>
      </c>
      <c r="Q2077" s="3">
        <v>0</v>
      </c>
      <c r="S2077" s="23" t="s">
        <v>5949</v>
      </c>
      <c r="T2077" s="23" t="s">
        <v>4931</v>
      </c>
      <c r="U2077" s="3">
        <v>34</v>
      </c>
      <c r="W2077" s="45" t="str">
        <f>HYPERLINK("http://ictvonline.org/taxonomy/p/taxonomy-history?taxnode_id=201855264","ICTVonline=201855264")</f>
        <v>ICTVonline=201855264</v>
      </c>
      <c r="AA2077" s="1">
        <v>201850000</v>
      </c>
      <c r="AB2077" s="1">
        <v>34</v>
      </c>
    </row>
    <row r="2078" spans="1:28" x14ac:dyDescent="0.15">
      <c r="A2078" s="1">
        <v>5276</v>
      </c>
      <c r="B2078" s="1" t="s">
        <v>7159</v>
      </c>
      <c r="L2078" s="1" t="s">
        <v>782</v>
      </c>
      <c r="M2078" s="1" t="s">
        <v>7150</v>
      </c>
      <c r="N2078" s="1" t="s">
        <v>1897</v>
      </c>
      <c r="P2078" s="1" t="s">
        <v>1909</v>
      </c>
      <c r="Q2078" s="3">
        <v>1</v>
      </c>
      <c r="S2078" s="23" t="s">
        <v>5949</v>
      </c>
      <c r="T2078" s="23" t="s">
        <v>4931</v>
      </c>
      <c r="U2078" s="3">
        <v>34</v>
      </c>
      <c r="W2078" s="45" t="str">
        <f>HYPERLINK("http://ictvonline.org/taxonomy/p/taxonomy-history?taxnode_id=201855265","ICTVonline=201855265")</f>
        <v>ICTVonline=201855265</v>
      </c>
      <c r="AA2078" s="1">
        <v>201850000</v>
      </c>
      <c r="AB2078" s="1">
        <v>34</v>
      </c>
    </row>
    <row r="2079" spans="1:28" x14ac:dyDescent="0.15">
      <c r="A2079" s="1">
        <v>5280</v>
      </c>
      <c r="B2079" s="1" t="s">
        <v>7159</v>
      </c>
      <c r="L2079" s="1" t="s">
        <v>782</v>
      </c>
      <c r="M2079" s="1" t="s">
        <v>7150</v>
      </c>
      <c r="N2079" s="1" t="s">
        <v>2280</v>
      </c>
      <c r="P2079" s="1" t="s">
        <v>2000</v>
      </c>
      <c r="Q2079" s="3">
        <v>1</v>
      </c>
      <c r="S2079" s="23" t="s">
        <v>5949</v>
      </c>
      <c r="T2079" s="23" t="s">
        <v>4931</v>
      </c>
      <c r="U2079" s="3">
        <v>34</v>
      </c>
      <c r="W2079" s="45" t="str">
        <f>HYPERLINK("http://ictvonline.org/taxonomy/p/taxonomy-history?taxnode_id=201855284","ICTVonline=201855284")</f>
        <v>ICTVonline=201855284</v>
      </c>
      <c r="AA2079" s="1">
        <v>201850000</v>
      </c>
      <c r="AB2079" s="1">
        <v>34</v>
      </c>
    </row>
    <row r="2080" spans="1:28" x14ac:dyDescent="0.15">
      <c r="A2080" s="1">
        <v>5283</v>
      </c>
      <c r="B2080" s="1" t="s">
        <v>7159</v>
      </c>
      <c r="L2080" s="1" t="s">
        <v>782</v>
      </c>
      <c r="M2080" s="1" t="s">
        <v>7150</v>
      </c>
      <c r="P2080" s="1" t="s">
        <v>788</v>
      </c>
      <c r="Q2080" s="3">
        <v>0</v>
      </c>
      <c r="S2080" s="23" t="s">
        <v>5949</v>
      </c>
      <c r="W2080" s="45" t="str">
        <f>HYPERLINK("http://ictvonline.org/taxonomy/p/taxonomy-history?taxnode_id=201855277","ICTVonline=201855277")</f>
        <v>ICTVonline=201855277</v>
      </c>
      <c r="AA2080" s="1">
        <v>201850000</v>
      </c>
      <c r="AB2080" s="1">
        <v>34</v>
      </c>
    </row>
    <row r="2081" spans="1:28" x14ac:dyDescent="0.15">
      <c r="A2081" s="1">
        <v>5285</v>
      </c>
      <c r="B2081" s="1" t="s">
        <v>7159</v>
      </c>
      <c r="L2081" s="1" t="s">
        <v>782</v>
      </c>
      <c r="M2081" s="1" t="s">
        <v>7150</v>
      </c>
      <c r="P2081" s="1" t="s">
        <v>790</v>
      </c>
      <c r="Q2081" s="3">
        <v>0</v>
      </c>
      <c r="S2081" s="23" t="s">
        <v>5949</v>
      </c>
      <c r="W2081" s="45" t="str">
        <f>HYPERLINK("http://ictvonline.org/taxonomy/p/taxonomy-history?taxnode_id=201855278","ICTVonline=201855278")</f>
        <v>ICTVonline=201855278</v>
      </c>
      <c r="AA2081" s="1">
        <v>201850000</v>
      </c>
      <c r="AB2081" s="1">
        <v>34</v>
      </c>
    </row>
    <row r="2082" spans="1:28" x14ac:dyDescent="0.15">
      <c r="A2082" s="1">
        <v>5287</v>
      </c>
      <c r="B2082" s="1" t="s">
        <v>7159</v>
      </c>
      <c r="L2082" s="1" t="s">
        <v>782</v>
      </c>
      <c r="M2082" s="1" t="s">
        <v>7150</v>
      </c>
      <c r="P2082" s="1" t="s">
        <v>872</v>
      </c>
      <c r="Q2082" s="3">
        <v>0</v>
      </c>
      <c r="S2082" s="23" t="s">
        <v>5949</v>
      </c>
      <c r="W2082" s="45" t="str">
        <f>HYPERLINK("http://ictvonline.org/taxonomy/p/taxonomy-history?taxnode_id=201855279","ICTVonline=201855279")</f>
        <v>ICTVonline=201855279</v>
      </c>
      <c r="AA2082" s="1">
        <v>201850000</v>
      </c>
      <c r="AB2082" s="1">
        <v>34</v>
      </c>
    </row>
    <row r="2083" spans="1:28" x14ac:dyDescent="0.15">
      <c r="A2083" s="1">
        <v>5289</v>
      </c>
      <c r="B2083" s="1" t="s">
        <v>7159</v>
      </c>
      <c r="L2083" s="1" t="s">
        <v>782</v>
      </c>
      <c r="M2083" s="1" t="s">
        <v>7150</v>
      </c>
      <c r="P2083" s="1" t="s">
        <v>1387</v>
      </c>
      <c r="Q2083" s="3">
        <v>0</v>
      </c>
      <c r="S2083" s="23" t="s">
        <v>5949</v>
      </c>
      <c r="W2083" s="45" t="str">
        <f>HYPERLINK("http://ictvonline.org/taxonomy/p/taxonomy-history?taxnode_id=201855280","ICTVonline=201855280")</f>
        <v>ICTVonline=201855280</v>
      </c>
      <c r="AA2083" s="1">
        <v>201850000</v>
      </c>
      <c r="AB2083" s="1">
        <v>34</v>
      </c>
    </row>
    <row r="2084" spans="1:28" x14ac:dyDescent="0.15">
      <c r="A2084" s="1">
        <v>5291</v>
      </c>
      <c r="B2084" s="1" t="s">
        <v>7159</v>
      </c>
      <c r="L2084" s="1" t="s">
        <v>782</v>
      </c>
      <c r="M2084" s="1" t="s">
        <v>7150</v>
      </c>
      <c r="P2084" s="1" t="s">
        <v>2741</v>
      </c>
      <c r="Q2084" s="3">
        <v>0</v>
      </c>
      <c r="S2084" s="23" t="s">
        <v>5949</v>
      </c>
      <c r="W2084" s="45" t="str">
        <f>HYPERLINK("http://ictvonline.org/taxonomy/p/taxonomy-history?taxnode_id=201855281","ICTVonline=201855281")</f>
        <v>ICTVonline=201855281</v>
      </c>
      <c r="AA2084" s="1">
        <v>201850000</v>
      </c>
      <c r="AB2084" s="1">
        <v>34</v>
      </c>
    </row>
    <row r="2085" spans="1:28" x14ac:dyDescent="0.15">
      <c r="A2085" s="1">
        <v>5293</v>
      </c>
      <c r="B2085" s="1" t="s">
        <v>7159</v>
      </c>
      <c r="L2085" s="1" t="s">
        <v>782</v>
      </c>
      <c r="M2085" s="1" t="s">
        <v>7150</v>
      </c>
      <c r="P2085" s="1" t="s">
        <v>1272</v>
      </c>
      <c r="Q2085" s="3">
        <v>0</v>
      </c>
      <c r="S2085" s="23" t="s">
        <v>5949</v>
      </c>
      <c r="W2085" s="45" t="str">
        <f>HYPERLINK("http://ictvonline.org/taxonomy/p/taxonomy-history?taxnode_id=201855282","ICTVonline=201855282")</f>
        <v>ICTVonline=201855282</v>
      </c>
      <c r="AA2085" s="1">
        <v>201850000</v>
      </c>
      <c r="AB2085" s="1">
        <v>34</v>
      </c>
    </row>
    <row r="2086" spans="1:28" x14ac:dyDescent="0.15">
      <c r="A2086" s="1">
        <v>5298</v>
      </c>
      <c r="B2086" s="1" t="s">
        <v>7159</v>
      </c>
      <c r="L2086" s="1" t="s">
        <v>782</v>
      </c>
      <c r="M2086" s="1" t="s">
        <v>7156</v>
      </c>
      <c r="N2086" s="1" t="s">
        <v>1273</v>
      </c>
      <c r="P2086" s="1" t="s">
        <v>1274</v>
      </c>
      <c r="Q2086" s="3">
        <v>1</v>
      </c>
      <c r="S2086" s="23" t="s">
        <v>5949</v>
      </c>
      <c r="T2086" s="23" t="s">
        <v>4931</v>
      </c>
      <c r="U2086" s="3">
        <v>34</v>
      </c>
      <c r="W2086" s="45" t="str">
        <f>HYPERLINK("http://ictvonline.org/taxonomy/p/taxonomy-history?taxnode_id=201855224","ICTVonline=201855224")</f>
        <v>ICTVonline=201855224</v>
      </c>
      <c r="AA2086" s="1">
        <v>201850000</v>
      </c>
      <c r="AB2086" s="1">
        <v>34</v>
      </c>
    </row>
    <row r="2087" spans="1:28" x14ac:dyDescent="0.15">
      <c r="A2087" s="1">
        <v>5300</v>
      </c>
      <c r="B2087" s="1" t="s">
        <v>7159</v>
      </c>
      <c r="L2087" s="1" t="s">
        <v>782</v>
      </c>
      <c r="M2087" s="1" t="s">
        <v>7156</v>
      </c>
      <c r="N2087" s="1" t="s">
        <v>1273</v>
      </c>
      <c r="P2087" s="1" t="s">
        <v>1275</v>
      </c>
      <c r="Q2087" s="3">
        <v>0</v>
      </c>
      <c r="S2087" s="23" t="s">
        <v>5949</v>
      </c>
      <c r="T2087" s="23" t="s">
        <v>4931</v>
      </c>
      <c r="U2087" s="3">
        <v>34</v>
      </c>
      <c r="W2087" s="45" t="str">
        <f>HYPERLINK("http://ictvonline.org/taxonomy/p/taxonomy-history?taxnode_id=201855225","ICTVonline=201855225")</f>
        <v>ICTVonline=201855225</v>
      </c>
      <c r="AA2087" s="1">
        <v>201850000</v>
      </c>
      <c r="AB2087" s="1">
        <v>34</v>
      </c>
    </row>
    <row r="2088" spans="1:28" x14ac:dyDescent="0.15">
      <c r="A2088" s="1">
        <v>5302</v>
      </c>
      <c r="B2088" s="1" t="s">
        <v>7159</v>
      </c>
      <c r="L2088" s="1" t="s">
        <v>782</v>
      </c>
      <c r="M2088" s="1" t="s">
        <v>7156</v>
      </c>
      <c r="N2088" s="1" t="s">
        <v>1273</v>
      </c>
      <c r="P2088" s="1" t="s">
        <v>1276</v>
      </c>
      <c r="Q2088" s="3">
        <v>0</v>
      </c>
      <c r="S2088" s="23" t="s">
        <v>5949</v>
      </c>
      <c r="T2088" s="23" t="s">
        <v>4931</v>
      </c>
      <c r="U2088" s="3">
        <v>34</v>
      </c>
      <c r="W2088" s="45" t="str">
        <f>HYPERLINK("http://ictvonline.org/taxonomy/p/taxonomy-history?taxnode_id=201855226","ICTVonline=201855226")</f>
        <v>ICTVonline=201855226</v>
      </c>
      <c r="AA2088" s="1">
        <v>201850000</v>
      </c>
      <c r="AB2088" s="1">
        <v>34</v>
      </c>
    </row>
    <row r="2089" spans="1:28" x14ac:dyDescent="0.15">
      <c r="A2089" s="1">
        <v>5307</v>
      </c>
      <c r="B2089" s="1" t="s">
        <v>7159</v>
      </c>
      <c r="L2089" s="1" t="s">
        <v>782</v>
      </c>
      <c r="N2089" s="1" t="s">
        <v>786</v>
      </c>
      <c r="P2089" s="1" t="s">
        <v>787</v>
      </c>
      <c r="Q2089" s="3">
        <v>1</v>
      </c>
      <c r="S2089" s="23" t="s">
        <v>5949</v>
      </c>
      <c r="T2089" s="23" t="s">
        <v>4931</v>
      </c>
      <c r="U2089" s="3">
        <v>34</v>
      </c>
      <c r="W2089" s="45" t="str">
        <f>HYPERLINK("http://ictvonline.org/taxonomy/p/taxonomy-history?taxnode_id=201855213","ICTVonline=201855213")</f>
        <v>ICTVonline=201855213</v>
      </c>
      <c r="AA2089" s="1">
        <v>201850000</v>
      </c>
      <c r="AB2089" s="1">
        <v>34</v>
      </c>
    </row>
    <row r="2090" spans="1:28" x14ac:dyDescent="0.15">
      <c r="A2090" s="1">
        <v>5313</v>
      </c>
      <c r="B2090" s="1" t="s">
        <v>7159</v>
      </c>
      <c r="L2090" s="1" t="s">
        <v>1910</v>
      </c>
      <c r="N2090" s="1" t="s">
        <v>1911</v>
      </c>
      <c r="P2090" s="1" t="s">
        <v>1601</v>
      </c>
      <c r="Q2090" s="3">
        <v>1</v>
      </c>
      <c r="S2090" s="23" t="s">
        <v>5949</v>
      </c>
      <c r="T2090" s="23" t="s">
        <v>4931</v>
      </c>
      <c r="U2090" s="3">
        <v>34</v>
      </c>
      <c r="W2090" s="45" t="str">
        <f>HYPERLINK("http://ictvonline.org/taxonomy/p/taxonomy-history?taxnode_id=201855288","ICTVonline=201855288")</f>
        <v>ICTVonline=201855288</v>
      </c>
      <c r="AA2090" s="1">
        <v>201850000</v>
      </c>
      <c r="AB2090" s="1">
        <v>34</v>
      </c>
    </row>
    <row r="2091" spans="1:28" x14ac:dyDescent="0.15">
      <c r="A2091" s="1">
        <v>5317</v>
      </c>
      <c r="B2091" s="1" t="s">
        <v>7159</v>
      </c>
      <c r="L2091" s="1" t="s">
        <v>1910</v>
      </c>
      <c r="N2091" s="1" t="s">
        <v>1602</v>
      </c>
      <c r="P2091" s="1" t="s">
        <v>2607</v>
      </c>
      <c r="Q2091" s="3">
        <v>1</v>
      </c>
      <c r="S2091" s="23" t="s">
        <v>5949</v>
      </c>
      <c r="T2091" s="23" t="s">
        <v>4931</v>
      </c>
      <c r="U2091" s="3">
        <v>34</v>
      </c>
      <c r="W2091" s="45" t="str">
        <f>HYPERLINK("http://ictvonline.org/taxonomy/p/taxonomy-history?taxnode_id=201855290","ICTVonline=201855290")</f>
        <v>ICTVonline=201855290</v>
      </c>
      <c r="AA2091" s="1">
        <v>201850000</v>
      </c>
      <c r="AB2091" s="1">
        <v>34</v>
      </c>
    </row>
    <row r="2092" spans="1:28" x14ac:dyDescent="0.15">
      <c r="A2092" s="1">
        <v>5319</v>
      </c>
      <c r="B2092" s="1" t="s">
        <v>7159</v>
      </c>
      <c r="L2092" s="1" t="s">
        <v>1910</v>
      </c>
      <c r="N2092" s="1" t="s">
        <v>1602</v>
      </c>
      <c r="P2092" s="1" t="s">
        <v>2608</v>
      </c>
      <c r="Q2092" s="3">
        <v>0</v>
      </c>
      <c r="S2092" s="23" t="s">
        <v>5949</v>
      </c>
      <c r="T2092" s="23" t="s">
        <v>4931</v>
      </c>
      <c r="U2092" s="3">
        <v>34</v>
      </c>
      <c r="W2092" s="45" t="str">
        <f>HYPERLINK("http://ictvonline.org/taxonomy/p/taxonomy-history?taxnode_id=201855291","ICTVonline=201855291")</f>
        <v>ICTVonline=201855291</v>
      </c>
      <c r="AA2092" s="1">
        <v>201850000</v>
      </c>
      <c r="AB2092" s="1">
        <v>34</v>
      </c>
    </row>
    <row r="2093" spans="1:28" x14ac:dyDescent="0.15">
      <c r="A2093" s="1">
        <v>5323</v>
      </c>
      <c r="B2093" s="1" t="s">
        <v>7159</v>
      </c>
      <c r="L2093" s="1" t="s">
        <v>1910</v>
      </c>
      <c r="N2093" s="1" t="s">
        <v>1334</v>
      </c>
      <c r="P2093" s="1" t="s">
        <v>1335</v>
      </c>
      <c r="Q2093" s="3">
        <v>1</v>
      </c>
      <c r="S2093" s="23" t="s">
        <v>5949</v>
      </c>
      <c r="T2093" s="23" t="s">
        <v>4931</v>
      </c>
      <c r="U2093" s="3">
        <v>34</v>
      </c>
      <c r="W2093" s="45" t="str">
        <f>HYPERLINK("http://ictvonline.org/taxonomy/p/taxonomy-history?taxnode_id=201855293","ICTVonline=201855293")</f>
        <v>ICTVonline=201855293</v>
      </c>
      <c r="AA2093" s="1">
        <v>201850000</v>
      </c>
      <c r="AB2093" s="1">
        <v>34</v>
      </c>
    </row>
    <row r="2094" spans="1:28" x14ac:dyDescent="0.15">
      <c r="A2094" s="1">
        <v>5325</v>
      </c>
      <c r="B2094" s="1" t="s">
        <v>7159</v>
      </c>
      <c r="L2094" s="1" t="s">
        <v>1910</v>
      </c>
      <c r="N2094" s="1" t="s">
        <v>1334</v>
      </c>
      <c r="P2094" s="1" t="s">
        <v>5599</v>
      </c>
      <c r="Q2094" s="3">
        <v>0</v>
      </c>
      <c r="S2094" s="23" t="s">
        <v>5949</v>
      </c>
      <c r="T2094" s="23" t="s">
        <v>4931</v>
      </c>
      <c r="U2094" s="3">
        <v>34</v>
      </c>
      <c r="W2094" s="45" t="str">
        <f>HYPERLINK("http://ictvonline.org/taxonomy/p/taxonomy-history?taxnode_id=201855294","ICTVonline=201855294")</f>
        <v>ICTVonline=201855294</v>
      </c>
      <c r="AA2094" s="1">
        <v>201850000</v>
      </c>
      <c r="AB2094" s="1">
        <v>34</v>
      </c>
    </row>
    <row r="2095" spans="1:28" x14ac:dyDescent="0.15">
      <c r="A2095" s="1">
        <v>5327</v>
      </c>
      <c r="B2095" s="1" t="s">
        <v>7159</v>
      </c>
      <c r="L2095" s="1" t="s">
        <v>1910</v>
      </c>
      <c r="N2095" s="1" t="s">
        <v>1334</v>
      </c>
      <c r="P2095" s="1" t="s">
        <v>2609</v>
      </c>
      <c r="Q2095" s="3">
        <v>0</v>
      </c>
      <c r="S2095" s="23" t="s">
        <v>5949</v>
      </c>
      <c r="T2095" s="23" t="s">
        <v>4931</v>
      </c>
      <c r="U2095" s="3">
        <v>34</v>
      </c>
      <c r="W2095" s="45" t="str">
        <f>HYPERLINK("http://ictvonline.org/taxonomy/p/taxonomy-history?taxnode_id=201855295","ICTVonline=201855295")</f>
        <v>ICTVonline=201855295</v>
      </c>
      <c r="AA2095" s="1">
        <v>201850000</v>
      </c>
      <c r="AB2095" s="1">
        <v>34</v>
      </c>
    </row>
    <row r="2096" spans="1:28" x14ac:dyDescent="0.15">
      <c r="A2096" s="1">
        <v>5329</v>
      </c>
      <c r="B2096" s="1" t="s">
        <v>7159</v>
      </c>
      <c r="L2096" s="1" t="s">
        <v>1910</v>
      </c>
      <c r="N2096" s="1" t="s">
        <v>1334</v>
      </c>
      <c r="P2096" s="1" t="s">
        <v>2610</v>
      </c>
      <c r="Q2096" s="3">
        <v>0</v>
      </c>
      <c r="S2096" s="23" t="s">
        <v>5949</v>
      </c>
      <c r="T2096" s="23" t="s">
        <v>4931</v>
      </c>
      <c r="U2096" s="3">
        <v>34</v>
      </c>
      <c r="W2096" s="45" t="str">
        <f>HYPERLINK("http://ictvonline.org/taxonomy/p/taxonomy-history?taxnode_id=201855296","ICTVonline=201855296")</f>
        <v>ICTVonline=201855296</v>
      </c>
      <c r="AA2096" s="1">
        <v>201850000</v>
      </c>
      <c r="AB2096" s="1">
        <v>34</v>
      </c>
    </row>
    <row r="2097" spans="1:28" x14ac:dyDescent="0.15">
      <c r="A2097" s="1">
        <v>5331</v>
      </c>
      <c r="B2097" s="1" t="s">
        <v>7159</v>
      </c>
      <c r="L2097" s="1" t="s">
        <v>1910</v>
      </c>
      <c r="N2097" s="1" t="s">
        <v>1334</v>
      </c>
      <c r="P2097" s="1" t="s">
        <v>1336</v>
      </c>
      <c r="Q2097" s="3">
        <v>0</v>
      </c>
      <c r="S2097" s="23" t="s">
        <v>5949</v>
      </c>
      <c r="T2097" s="23" t="s">
        <v>4931</v>
      </c>
      <c r="U2097" s="3">
        <v>34</v>
      </c>
      <c r="W2097" s="45" t="str">
        <f>HYPERLINK("http://ictvonline.org/taxonomy/p/taxonomy-history?taxnode_id=201855297","ICTVonline=201855297")</f>
        <v>ICTVonline=201855297</v>
      </c>
      <c r="AA2097" s="1">
        <v>201850000</v>
      </c>
      <c r="AB2097" s="1">
        <v>34</v>
      </c>
    </row>
    <row r="2098" spans="1:28" x14ac:dyDescent="0.15">
      <c r="A2098" s="1">
        <v>5333</v>
      </c>
      <c r="B2098" s="1" t="s">
        <v>7159</v>
      </c>
      <c r="L2098" s="1" t="s">
        <v>1910</v>
      </c>
      <c r="N2098" s="1" t="s">
        <v>1334</v>
      </c>
      <c r="P2098" s="1" t="s">
        <v>2611</v>
      </c>
      <c r="Q2098" s="3">
        <v>0</v>
      </c>
      <c r="S2098" s="23" t="s">
        <v>5949</v>
      </c>
      <c r="T2098" s="23" t="s">
        <v>4931</v>
      </c>
      <c r="U2098" s="3">
        <v>34</v>
      </c>
      <c r="W2098" s="45" t="str">
        <f>HYPERLINK("http://ictvonline.org/taxonomy/p/taxonomy-history?taxnode_id=201855298","ICTVonline=201855298")</f>
        <v>ICTVonline=201855298</v>
      </c>
      <c r="AA2098" s="1">
        <v>201850000</v>
      </c>
      <c r="AB2098" s="1">
        <v>34</v>
      </c>
    </row>
    <row r="2099" spans="1:28" x14ac:dyDescent="0.15">
      <c r="A2099" s="1">
        <v>5335</v>
      </c>
      <c r="B2099" s="1" t="s">
        <v>7159</v>
      </c>
      <c r="L2099" s="1" t="s">
        <v>1910</v>
      </c>
      <c r="N2099" s="1" t="s">
        <v>1334</v>
      </c>
      <c r="P2099" s="1" t="s">
        <v>2612</v>
      </c>
      <c r="Q2099" s="3">
        <v>0</v>
      </c>
      <c r="S2099" s="23" t="s">
        <v>5949</v>
      </c>
      <c r="T2099" s="23" t="s">
        <v>4931</v>
      </c>
      <c r="U2099" s="3">
        <v>34</v>
      </c>
      <c r="W2099" s="45" t="str">
        <f>HYPERLINK("http://ictvonline.org/taxonomy/p/taxonomy-history?taxnode_id=201855299","ICTVonline=201855299")</f>
        <v>ICTVonline=201855299</v>
      </c>
      <c r="AA2099" s="1">
        <v>201850000</v>
      </c>
      <c r="AB2099" s="1">
        <v>34</v>
      </c>
    </row>
    <row r="2100" spans="1:28" x14ac:dyDescent="0.15">
      <c r="A2100" s="1">
        <v>5339</v>
      </c>
      <c r="B2100" s="1" t="s">
        <v>7159</v>
      </c>
      <c r="L2100" s="1" t="s">
        <v>1910</v>
      </c>
      <c r="N2100" s="1" t="s">
        <v>209</v>
      </c>
      <c r="P2100" s="1" t="s">
        <v>210</v>
      </c>
      <c r="Q2100" s="3">
        <v>1</v>
      </c>
      <c r="S2100" s="23" t="s">
        <v>5949</v>
      </c>
      <c r="T2100" s="23" t="s">
        <v>4931</v>
      </c>
      <c r="U2100" s="3">
        <v>34</v>
      </c>
      <c r="W2100" s="45" t="str">
        <f>HYPERLINK("http://ictvonline.org/taxonomy/p/taxonomy-history?taxnode_id=201855301","ICTVonline=201855301")</f>
        <v>ICTVonline=201855301</v>
      </c>
      <c r="AA2100" s="1">
        <v>201850000</v>
      </c>
      <c r="AB2100" s="1">
        <v>34</v>
      </c>
    </row>
    <row r="2101" spans="1:28" x14ac:dyDescent="0.15">
      <c r="A2101" s="1">
        <v>5341</v>
      </c>
      <c r="B2101" s="1" t="s">
        <v>7159</v>
      </c>
      <c r="L2101" s="1" t="s">
        <v>1910</v>
      </c>
      <c r="N2101" s="1" t="s">
        <v>209</v>
      </c>
      <c r="P2101" s="1" t="s">
        <v>211</v>
      </c>
      <c r="Q2101" s="3">
        <v>0</v>
      </c>
      <c r="S2101" s="23" t="s">
        <v>5949</v>
      </c>
      <c r="T2101" s="23" t="s">
        <v>4931</v>
      </c>
      <c r="U2101" s="3">
        <v>34</v>
      </c>
      <c r="W2101" s="45" t="str">
        <f>HYPERLINK("http://ictvonline.org/taxonomy/p/taxonomy-history?taxnode_id=201855302","ICTVonline=201855302")</f>
        <v>ICTVonline=201855302</v>
      </c>
      <c r="AA2101" s="1">
        <v>201850000</v>
      </c>
      <c r="AB2101" s="1">
        <v>34</v>
      </c>
    </row>
    <row r="2102" spans="1:28" x14ac:dyDescent="0.15">
      <c r="A2102" s="1">
        <v>5343</v>
      </c>
      <c r="B2102" s="1" t="s">
        <v>7159</v>
      </c>
      <c r="L2102" s="1" t="s">
        <v>1910</v>
      </c>
      <c r="N2102" s="1" t="s">
        <v>209</v>
      </c>
      <c r="P2102" s="1" t="s">
        <v>212</v>
      </c>
      <c r="Q2102" s="3">
        <v>0</v>
      </c>
      <c r="S2102" s="23" t="s">
        <v>5949</v>
      </c>
      <c r="T2102" s="23" t="s">
        <v>4931</v>
      </c>
      <c r="U2102" s="3">
        <v>34</v>
      </c>
      <c r="W2102" s="45" t="str">
        <f>HYPERLINK("http://ictvonline.org/taxonomy/p/taxonomy-history?taxnode_id=201855303","ICTVonline=201855303")</f>
        <v>ICTVonline=201855303</v>
      </c>
      <c r="AA2102" s="1">
        <v>201850000</v>
      </c>
      <c r="AB2102" s="1">
        <v>34</v>
      </c>
    </row>
    <row r="2103" spans="1:28" x14ac:dyDescent="0.15">
      <c r="A2103" s="1">
        <v>5345</v>
      </c>
      <c r="B2103" s="1" t="s">
        <v>7159</v>
      </c>
      <c r="L2103" s="1" t="s">
        <v>1910</v>
      </c>
      <c r="N2103" s="1" t="s">
        <v>209</v>
      </c>
      <c r="P2103" s="1" t="s">
        <v>2613</v>
      </c>
      <c r="Q2103" s="3">
        <v>0</v>
      </c>
      <c r="S2103" s="23" t="s">
        <v>5949</v>
      </c>
      <c r="T2103" s="23" t="s">
        <v>4931</v>
      </c>
      <c r="U2103" s="3">
        <v>34</v>
      </c>
      <c r="W2103" s="45" t="str">
        <f>HYPERLINK("http://ictvonline.org/taxonomy/p/taxonomy-history?taxnode_id=201855304","ICTVonline=201855304")</f>
        <v>ICTVonline=201855304</v>
      </c>
      <c r="AA2103" s="1">
        <v>201850000</v>
      </c>
      <c r="AB2103" s="1">
        <v>34</v>
      </c>
    </row>
    <row r="2104" spans="1:28" x14ac:dyDescent="0.15">
      <c r="A2104" s="1">
        <v>5349</v>
      </c>
      <c r="B2104" s="1" t="s">
        <v>7159</v>
      </c>
      <c r="L2104" s="1" t="s">
        <v>1910</v>
      </c>
      <c r="N2104" s="1" t="s">
        <v>773</v>
      </c>
      <c r="P2104" s="1" t="s">
        <v>2614</v>
      </c>
      <c r="Q2104" s="3">
        <v>0</v>
      </c>
      <c r="S2104" s="23" t="s">
        <v>5949</v>
      </c>
      <c r="T2104" s="23" t="s">
        <v>4931</v>
      </c>
      <c r="U2104" s="3">
        <v>34</v>
      </c>
      <c r="W2104" s="45" t="str">
        <f>HYPERLINK("http://ictvonline.org/taxonomy/p/taxonomy-history?taxnode_id=201855306","ICTVonline=201855306")</f>
        <v>ICTVonline=201855306</v>
      </c>
      <c r="AA2104" s="1">
        <v>201850000</v>
      </c>
      <c r="AB2104" s="1">
        <v>34</v>
      </c>
    </row>
    <row r="2105" spans="1:28" x14ac:dyDescent="0.15">
      <c r="A2105" s="1">
        <v>5351</v>
      </c>
      <c r="B2105" s="1" t="s">
        <v>7159</v>
      </c>
      <c r="L2105" s="1" t="s">
        <v>1910</v>
      </c>
      <c r="N2105" s="1" t="s">
        <v>773</v>
      </c>
      <c r="P2105" s="1" t="s">
        <v>2615</v>
      </c>
      <c r="Q2105" s="3">
        <v>0</v>
      </c>
      <c r="S2105" s="23" t="s">
        <v>5949</v>
      </c>
      <c r="T2105" s="23" t="s">
        <v>4931</v>
      </c>
      <c r="U2105" s="3">
        <v>34</v>
      </c>
      <c r="W2105" s="45" t="str">
        <f>HYPERLINK("http://ictvonline.org/taxonomy/p/taxonomy-history?taxnode_id=201855307","ICTVonline=201855307")</f>
        <v>ICTVonline=201855307</v>
      </c>
      <c r="AA2105" s="1">
        <v>201850000</v>
      </c>
      <c r="AB2105" s="1">
        <v>34</v>
      </c>
    </row>
    <row r="2106" spans="1:28" x14ac:dyDescent="0.15">
      <c r="A2106" s="1">
        <v>5353</v>
      </c>
      <c r="B2106" s="1" t="s">
        <v>7159</v>
      </c>
      <c r="L2106" s="1" t="s">
        <v>1910</v>
      </c>
      <c r="N2106" s="1" t="s">
        <v>773</v>
      </c>
      <c r="P2106" s="1" t="s">
        <v>1237</v>
      </c>
      <c r="Q2106" s="3">
        <v>0</v>
      </c>
      <c r="S2106" s="23" t="s">
        <v>5949</v>
      </c>
      <c r="T2106" s="23" t="s">
        <v>4931</v>
      </c>
      <c r="U2106" s="3">
        <v>34</v>
      </c>
      <c r="W2106" s="45" t="str">
        <f>HYPERLINK("http://ictvonline.org/taxonomy/p/taxonomy-history?taxnode_id=201855308","ICTVonline=201855308")</f>
        <v>ICTVonline=201855308</v>
      </c>
      <c r="AA2106" s="1">
        <v>201850000</v>
      </c>
      <c r="AB2106" s="1">
        <v>34</v>
      </c>
    </row>
    <row r="2107" spans="1:28" x14ac:dyDescent="0.15">
      <c r="A2107" s="1">
        <v>5355</v>
      </c>
      <c r="B2107" s="1" t="s">
        <v>7159</v>
      </c>
      <c r="L2107" s="1" t="s">
        <v>1910</v>
      </c>
      <c r="N2107" s="1" t="s">
        <v>773</v>
      </c>
      <c r="P2107" s="1" t="s">
        <v>1238</v>
      </c>
      <c r="Q2107" s="3">
        <v>0</v>
      </c>
      <c r="S2107" s="23" t="s">
        <v>5949</v>
      </c>
      <c r="T2107" s="23" t="s">
        <v>4931</v>
      </c>
      <c r="U2107" s="3">
        <v>34</v>
      </c>
      <c r="W2107" s="45" t="str">
        <f>HYPERLINK("http://ictvonline.org/taxonomy/p/taxonomy-history?taxnode_id=201855309","ICTVonline=201855309")</f>
        <v>ICTVonline=201855309</v>
      </c>
      <c r="AA2107" s="1">
        <v>201850000</v>
      </c>
      <c r="AB2107" s="1">
        <v>34</v>
      </c>
    </row>
    <row r="2108" spans="1:28" x14ac:dyDescent="0.15">
      <c r="A2108" s="1">
        <v>5357</v>
      </c>
      <c r="B2108" s="1" t="s">
        <v>7159</v>
      </c>
      <c r="L2108" s="1" t="s">
        <v>1910</v>
      </c>
      <c r="N2108" s="1" t="s">
        <v>773</v>
      </c>
      <c r="P2108" s="1" t="s">
        <v>1239</v>
      </c>
      <c r="Q2108" s="3">
        <v>0</v>
      </c>
      <c r="S2108" s="23" t="s">
        <v>5949</v>
      </c>
      <c r="T2108" s="23" t="s">
        <v>4931</v>
      </c>
      <c r="U2108" s="3">
        <v>34</v>
      </c>
      <c r="W2108" s="45" t="str">
        <f>HYPERLINK("http://ictvonline.org/taxonomy/p/taxonomy-history?taxnode_id=201855310","ICTVonline=201855310")</f>
        <v>ICTVonline=201855310</v>
      </c>
      <c r="AA2108" s="1">
        <v>201850000</v>
      </c>
      <c r="AB2108" s="1">
        <v>34</v>
      </c>
    </row>
    <row r="2109" spans="1:28" x14ac:dyDescent="0.15">
      <c r="A2109" s="1">
        <v>5359</v>
      </c>
      <c r="B2109" s="1" t="s">
        <v>7159</v>
      </c>
      <c r="L2109" s="1" t="s">
        <v>1910</v>
      </c>
      <c r="N2109" s="1" t="s">
        <v>773</v>
      </c>
      <c r="P2109" s="1" t="s">
        <v>1240</v>
      </c>
      <c r="Q2109" s="3">
        <v>0</v>
      </c>
      <c r="S2109" s="23" t="s">
        <v>5949</v>
      </c>
      <c r="T2109" s="23" t="s">
        <v>4931</v>
      </c>
      <c r="U2109" s="3">
        <v>34</v>
      </c>
      <c r="W2109" s="45" t="str">
        <f>HYPERLINK("http://ictvonline.org/taxonomy/p/taxonomy-history?taxnode_id=201855311","ICTVonline=201855311")</f>
        <v>ICTVonline=201855311</v>
      </c>
      <c r="AA2109" s="1">
        <v>201850000</v>
      </c>
      <c r="AB2109" s="1">
        <v>34</v>
      </c>
    </row>
    <row r="2110" spans="1:28" x14ac:dyDescent="0.15">
      <c r="A2110" s="1">
        <v>5361</v>
      </c>
      <c r="B2110" s="1" t="s">
        <v>7159</v>
      </c>
      <c r="L2110" s="1" t="s">
        <v>1910</v>
      </c>
      <c r="N2110" s="1" t="s">
        <v>773</v>
      </c>
      <c r="P2110" s="1" t="s">
        <v>777</v>
      </c>
      <c r="Q2110" s="3">
        <v>0</v>
      </c>
      <c r="S2110" s="23" t="s">
        <v>5949</v>
      </c>
      <c r="T2110" s="23" t="s">
        <v>4931</v>
      </c>
      <c r="U2110" s="3">
        <v>34</v>
      </c>
      <c r="W2110" s="45" t="str">
        <f>HYPERLINK("http://ictvonline.org/taxonomy/p/taxonomy-history?taxnode_id=201855312","ICTVonline=201855312")</f>
        <v>ICTVonline=201855312</v>
      </c>
      <c r="AA2110" s="1">
        <v>201850000</v>
      </c>
      <c r="AB2110" s="1">
        <v>34</v>
      </c>
    </row>
    <row r="2111" spans="1:28" x14ac:dyDescent="0.15">
      <c r="A2111" s="1">
        <v>5363</v>
      </c>
      <c r="B2111" s="1" t="s">
        <v>7159</v>
      </c>
      <c r="L2111" s="1" t="s">
        <v>1910</v>
      </c>
      <c r="N2111" s="1" t="s">
        <v>773</v>
      </c>
      <c r="P2111" s="1" t="s">
        <v>1516</v>
      </c>
      <c r="Q2111" s="3">
        <v>1</v>
      </c>
      <c r="S2111" s="23" t="s">
        <v>5949</v>
      </c>
      <c r="T2111" s="23" t="s">
        <v>4931</v>
      </c>
      <c r="U2111" s="3">
        <v>34</v>
      </c>
      <c r="W2111" s="45" t="str">
        <f>HYPERLINK("http://ictvonline.org/taxonomy/p/taxonomy-history?taxnode_id=201855313","ICTVonline=201855313")</f>
        <v>ICTVonline=201855313</v>
      </c>
      <c r="AA2111" s="1">
        <v>201850000</v>
      </c>
      <c r="AB2111" s="1">
        <v>34</v>
      </c>
    </row>
    <row r="2112" spans="1:28" x14ac:dyDescent="0.15">
      <c r="A2112" s="1">
        <v>5365</v>
      </c>
      <c r="B2112" s="1" t="s">
        <v>7159</v>
      </c>
      <c r="L2112" s="1" t="s">
        <v>1910</v>
      </c>
      <c r="N2112" s="1" t="s">
        <v>773</v>
      </c>
      <c r="P2112" s="1" t="s">
        <v>778</v>
      </c>
      <c r="Q2112" s="3">
        <v>0</v>
      </c>
      <c r="S2112" s="23" t="s">
        <v>5949</v>
      </c>
      <c r="T2112" s="23" t="s">
        <v>4931</v>
      </c>
      <c r="U2112" s="3">
        <v>34</v>
      </c>
      <c r="W2112" s="45" t="str">
        <f>HYPERLINK("http://ictvonline.org/taxonomy/p/taxonomy-history?taxnode_id=201855314","ICTVonline=201855314")</f>
        <v>ICTVonline=201855314</v>
      </c>
      <c r="AA2112" s="1">
        <v>201850000</v>
      </c>
      <c r="AB2112" s="1">
        <v>34</v>
      </c>
    </row>
    <row r="2113" spans="1:28" x14ac:dyDescent="0.15">
      <c r="A2113" s="1">
        <v>5367</v>
      </c>
      <c r="B2113" s="1" t="s">
        <v>7159</v>
      </c>
      <c r="L2113" s="1" t="s">
        <v>1910</v>
      </c>
      <c r="N2113" s="1" t="s">
        <v>773</v>
      </c>
      <c r="P2113" s="1" t="s">
        <v>2616</v>
      </c>
      <c r="Q2113" s="3">
        <v>0</v>
      </c>
      <c r="S2113" s="23" t="s">
        <v>5949</v>
      </c>
      <c r="T2113" s="23" t="s">
        <v>4931</v>
      </c>
      <c r="U2113" s="3">
        <v>34</v>
      </c>
      <c r="W2113" s="45" t="str">
        <f>HYPERLINK("http://ictvonline.org/taxonomy/p/taxonomy-history?taxnode_id=201855315","ICTVonline=201855315")</f>
        <v>ICTVonline=201855315</v>
      </c>
      <c r="AA2113" s="1">
        <v>201850000</v>
      </c>
      <c r="AB2113" s="1">
        <v>34</v>
      </c>
    </row>
    <row r="2114" spans="1:28" x14ac:dyDescent="0.15">
      <c r="A2114" s="1">
        <v>5369</v>
      </c>
      <c r="B2114" s="1" t="s">
        <v>7159</v>
      </c>
      <c r="L2114" s="1" t="s">
        <v>1910</v>
      </c>
      <c r="N2114" s="1" t="s">
        <v>773</v>
      </c>
      <c r="P2114" s="1" t="s">
        <v>2617</v>
      </c>
      <c r="Q2114" s="3">
        <v>0</v>
      </c>
      <c r="S2114" s="23" t="s">
        <v>5949</v>
      </c>
      <c r="T2114" s="23" t="s">
        <v>4931</v>
      </c>
      <c r="U2114" s="3">
        <v>34</v>
      </c>
      <c r="W2114" s="45" t="str">
        <f>HYPERLINK("http://ictvonline.org/taxonomy/p/taxonomy-history?taxnode_id=201855316","ICTVonline=201855316")</f>
        <v>ICTVonline=201855316</v>
      </c>
      <c r="AA2114" s="1">
        <v>201850000</v>
      </c>
      <c r="AB2114" s="1">
        <v>34</v>
      </c>
    </row>
    <row r="2115" spans="1:28" x14ac:dyDescent="0.15">
      <c r="A2115" s="1">
        <v>5371</v>
      </c>
      <c r="B2115" s="1" t="s">
        <v>7159</v>
      </c>
      <c r="L2115" s="1" t="s">
        <v>1910</v>
      </c>
      <c r="N2115" s="1" t="s">
        <v>773</v>
      </c>
      <c r="P2115" s="1" t="s">
        <v>779</v>
      </c>
      <c r="Q2115" s="3">
        <v>0</v>
      </c>
      <c r="S2115" s="23" t="s">
        <v>5949</v>
      </c>
      <c r="T2115" s="23" t="s">
        <v>4931</v>
      </c>
      <c r="U2115" s="3">
        <v>34</v>
      </c>
      <c r="W2115" s="45" t="str">
        <f>HYPERLINK("http://ictvonline.org/taxonomy/p/taxonomy-history?taxnode_id=201855317","ICTVonline=201855317")</f>
        <v>ICTVonline=201855317</v>
      </c>
      <c r="AA2115" s="1">
        <v>201850000</v>
      </c>
      <c r="AB2115" s="1">
        <v>34</v>
      </c>
    </row>
    <row r="2116" spans="1:28" x14ac:dyDescent="0.15">
      <c r="A2116" s="1">
        <v>5373</v>
      </c>
      <c r="B2116" s="1" t="s">
        <v>7159</v>
      </c>
      <c r="L2116" s="1" t="s">
        <v>1910</v>
      </c>
      <c r="N2116" s="1" t="s">
        <v>773</v>
      </c>
      <c r="P2116" s="1" t="s">
        <v>780</v>
      </c>
      <c r="Q2116" s="3">
        <v>0</v>
      </c>
      <c r="S2116" s="23" t="s">
        <v>5949</v>
      </c>
      <c r="T2116" s="23" t="s">
        <v>4931</v>
      </c>
      <c r="U2116" s="3">
        <v>34</v>
      </c>
      <c r="W2116" s="45" t="str">
        <f>HYPERLINK("http://ictvonline.org/taxonomy/p/taxonomy-history?taxnode_id=201855318","ICTVonline=201855318")</f>
        <v>ICTVonline=201855318</v>
      </c>
      <c r="AA2116" s="1">
        <v>201850000</v>
      </c>
      <c r="AB2116" s="1">
        <v>34</v>
      </c>
    </row>
    <row r="2117" spans="1:28" x14ac:dyDescent="0.15">
      <c r="A2117" s="1">
        <v>5375</v>
      </c>
      <c r="B2117" s="1" t="s">
        <v>7159</v>
      </c>
      <c r="L2117" s="1" t="s">
        <v>1910</v>
      </c>
      <c r="N2117" s="1" t="s">
        <v>773</v>
      </c>
      <c r="P2117" s="1" t="s">
        <v>2618</v>
      </c>
      <c r="Q2117" s="3">
        <v>0</v>
      </c>
      <c r="S2117" s="23" t="s">
        <v>5949</v>
      </c>
      <c r="T2117" s="23" t="s">
        <v>4931</v>
      </c>
      <c r="U2117" s="3">
        <v>34</v>
      </c>
      <c r="W2117" s="45" t="str">
        <f>HYPERLINK("http://ictvonline.org/taxonomy/p/taxonomy-history?taxnode_id=201855319","ICTVonline=201855319")</f>
        <v>ICTVonline=201855319</v>
      </c>
      <c r="AA2117" s="1">
        <v>201850000</v>
      </c>
      <c r="AB2117" s="1">
        <v>34</v>
      </c>
    </row>
    <row r="2118" spans="1:28" x14ac:dyDescent="0.15">
      <c r="A2118" s="1">
        <v>5381</v>
      </c>
      <c r="B2118" s="1" t="s">
        <v>7159</v>
      </c>
      <c r="L2118" s="1" t="s">
        <v>1995</v>
      </c>
      <c r="N2118" s="1" t="s">
        <v>1260</v>
      </c>
      <c r="P2118" s="1" t="s">
        <v>1261</v>
      </c>
      <c r="Q2118" s="3">
        <v>0</v>
      </c>
      <c r="S2118" s="23" t="s">
        <v>5949</v>
      </c>
      <c r="T2118" s="23" t="s">
        <v>4931</v>
      </c>
      <c r="U2118" s="3">
        <v>34</v>
      </c>
      <c r="W2118" s="45" t="str">
        <f>HYPERLINK("http://ictvonline.org/taxonomy/p/taxonomy-history?taxnode_id=201855397","ICTVonline=201855397")</f>
        <v>ICTVonline=201855397</v>
      </c>
      <c r="AA2118" s="1">
        <v>201850000</v>
      </c>
      <c r="AB2118" s="1">
        <v>34</v>
      </c>
    </row>
    <row r="2119" spans="1:28" x14ac:dyDescent="0.15">
      <c r="A2119" s="1">
        <v>5383</v>
      </c>
      <c r="B2119" s="1" t="s">
        <v>7159</v>
      </c>
      <c r="L2119" s="1" t="s">
        <v>1995</v>
      </c>
      <c r="N2119" s="1" t="s">
        <v>1260</v>
      </c>
      <c r="P2119" s="1" t="s">
        <v>216</v>
      </c>
      <c r="Q2119" s="3">
        <v>0</v>
      </c>
      <c r="S2119" s="23" t="s">
        <v>5949</v>
      </c>
      <c r="T2119" s="23" t="s">
        <v>4931</v>
      </c>
      <c r="U2119" s="3">
        <v>34</v>
      </c>
      <c r="W2119" s="45" t="str">
        <f>HYPERLINK("http://ictvonline.org/taxonomy/p/taxonomy-history?taxnode_id=201855398","ICTVonline=201855398")</f>
        <v>ICTVonline=201855398</v>
      </c>
      <c r="AA2119" s="1">
        <v>201850000</v>
      </c>
      <c r="AB2119" s="1">
        <v>34</v>
      </c>
    </row>
    <row r="2120" spans="1:28" x14ac:dyDescent="0.15">
      <c r="A2120" s="1">
        <v>5385</v>
      </c>
      <c r="B2120" s="1" t="s">
        <v>7159</v>
      </c>
      <c r="L2120" s="1" t="s">
        <v>1995</v>
      </c>
      <c r="N2120" s="1" t="s">
        <v>1260</v>
      </c>
      <c r="P2120" s="1" t="s">
        <v>1262</v>
      </c>
      <c r="Q2120" s="3">
        <v>0</v>
      </c>
      <c r="S2120" s="23" t="s">
        <v>5949</v>
      </c>
      <c r="T2120" s="23" t="s">
        <v>4931</v>
      </c>
      <c r="U2120" s="3">
        <v>34</v>
      </c>
      <c r="W2120" s="45" t="str">
        <f>HYPERLINK("http://ictvonline.org/taxonomy/p/taxonomy-history?taxnode_id=201855399","ICTVonline=201855399")</f>
        <v>ICTVonline=201855399</v>
      </c>
      <c r="AA2120" s="1">
        <v>201850000</v>
      </c>
      <c r="AB2120" s="1">
        <v>34</v>
      </c>
    </row>
    <row r="2121" spans="1:28" x14ac:dyDescent="0.15">
      <c r="A2121" s="1">
        <v>5387</v>
      </c>
      <c r="B2121" s="1" t="s">
        <v>7159</v>
      </c>
      <c r="L2121" s="1" t="s">
        <v>1995</v>
      </c>
      <c r="N2121" s="1" t="s">
        <v>1260</v>
      </c>
      <c r="P2121" s="1" t="s">
        <v>1263</v>
      </c>
      <c r="Q2121" s="3">
        <v>0</v>
      </c>
      <c r="S2121" s="23" t="s">
        <v>5949</v>
      </c>
      <c r="T2121" s="23" t="s">
        <v>4931</v>
      </c>
      <c r="U2121" s="3">
        <v>34</v>
      </c>
      <c r="W2121" s="45" t="str">
        <f>HYPERLINK("http://ictvonline.org/taxonomy/p/taxonomy-history?taxnode_id=201855400","ICTVonline=201855400")</f>
        <v>ICTVonline=201855400</v>
      </c>
      <c r="AA2121" s="1">
        <v>201850000</v>
      </c>
      <c r="AB2121" s="1">
        <v>34</v>
      </c>
    </row>
    <row r="2122" spans="1:28" x14ac:dyDescent="0.15">
      <c r="A2122" s="1">
        <v>5389</v>
      </c>
      <c r="B2122" s="1" t="s">
        <v>7159</v>
      </c>
      <c r="L2122" s="1" t="s">
        <v>1995</v>
      </c>
      <c r="N2122" s="1" t="s">
        <v>1260</v>
      </c>
      <c r="P2122" s="1" t="s">
        <v>1264</v>
      </c>
      <c r="Q2122" s="3">
        <v>1</v>
      </c>
      <c r="S2122" s="23" t="s">
        <v>5949</v>
      </c>
      <c r="T2122" s="23" t="s">
        <v>4931</v>
      </c>
      <c r="U2122" s="3">
        <v>34</v>
      </c>
      <c r="W2122" s="45" t="str">
        <f>HYPERLINK("http://ictvonline.org/taxonomy/p/taxonomy-history?taxnode_id=201855401","ICTVonline=201855401")</f>
        <v>ICTVonline=201855401</v>
      </c>
      <c r="AA2122" s="1">
        <v>201850000</v>
      </c>
      <c r="AB2122" s="1">
        <v>34</v>
      </c>
    </row>
    <row r="2123" spans="1:28" x14ac:dyDescent="0.15">
      <c r="A2123" s="1">
        <v>5391</v>
      </c>
      <c r="B2123" s="1" t="s">
        <v>7159</v>
      </c>
      <c r="L2123" s="1" t="s">
        <v>1995</v>
      </c>
      <c r="N2123" s="1" t="s">
        <v>1260</v>
      </c>
      <c r="P2123" s="1" t="s">
        <v>274</v>
      </c>
      <c r="Q2123" s="3">
        <v>0</v>
      </c>
      <c r="S2123" s="23" t="s">
        <v>5949</v>
      </c>
      <c r="T2123" s="23" t="s">
        <v>4931</v>
      </c>
      <c r="U2123" s="3">
        <v>34</v>
      </c>
      <c r="W2123" s="45" t="str">
        <f>HYPERLINK("http://ictvonline.org/taxonomy/p/taxonomy-history?taxnode_id=201855402","ICTVonline=201855402")</f>
        <v>ICTVonline=201855402</v>
      </c>
      <c r="AA2123" s="1">
        <v>201850000</v>
      </c>
      <c r="AB2123" s="1">
        <v>34</v>
      </c>
    </row>
    <row r="2124" spans="1:28" x14ac:dyDescent="0.15">
      <c r="A2124" s="1">
        <v>5395</v>
      </c>
      <c r="B2124" s="1" t="s">
        <v>7159</v>
      </c>
      <c r="L2124" s="1" t="s">
        <v>1995</v>
      </c>
      <c r="N2124" s="1" t="s">
        <v>4040</v>
      </c>
      <c r="P2124" s="1" t="s">
        <v>4041</v>
      </c>
      <c r="Q2124" s="3">
        <v>0</v>
      </c>
      <c r="S2124" s="23" t="s">
        <v>5949</v>
      </c>
      <c r="T2124" s="23" t="s">
        <v>4931</v>
      </c>
      <c r="U2124" s="3">
        <v>34</v>
      </c>
      <c r="W2124" s="45" t="str">
        <f>HYPERLINK("http://ictvonline.org/taxonomy/p/taxonomy-history?taxnode_id=201855404","ICTVonline=201855404")</f>
        <v>ICTVonline=201855404</v>
      </c>
      <c r="AA2124" s="1">
        <v>201850000</v>
      </c>
      <c r="AB2124" s="1">
        <v>34</v>
      </c>
    </row>
    <row r="2125" spans="1:28" x14ac:dyDescent="0.15">
      <c r="A2125" s="1">
        <v>5397</v>
      </c>
      <c r="B2125" s="1" t="s">
        <v>7159</v>
      </c>
      <c r="L2125" s="1" t="s">
        <v>1995</v>
      </c>
      <c r="N2125" s="1" t="s">
        <v>4040</v>
      </c>
      <c r="P2125" s="1" t="s">
        <v>4042</v>
      </c>
      <c r="Q2125" s="3">
        <v>1</v>
      </c>
      <c r="S2125" s="23" t="s">
        <v>5949</v>
      </c>
      <c r="T2125" s="23" t="s">
        <v>4931</v>
      </c>
      <c r="U2125" s="3">
        <v>34</v>
      </c>
      <c r="W2125" s="45" t="str">
        <f>HYPERLINK("http://ictvonline.org/taxonomy/p/taxonomy-history?taxnode_id=201855405","ICTVonline=201855405")</f>
        <v>ICTVonline=201855405</v>
      </c>
      <c r="AA2125" s="1">
        <v>201850000</v>
      </c>
      <c r="AB2125" s="1">
        <v>34</v>
      </c>
    </row>
    <row r="2126" spans="1:28" x14ac:dyDescent="0.15">
      <c r="A2126" s="1">
        <v>5401</v>
      </c>
      <c r="B2126" s="1" t="s">
        <v>7159</v>
      </c>
      <c r="L2126" s="1" t="s">
        <v>1995</v>
      </c>
      <c r="N2126" s="1" t="s">
        <v>260</v>
      </c>
      <c r="P2126" s="1" t="s">
        <v>261</v>
      </c>
      <c r="Q2126" s="3">
        <v>0</v>
      </c>
      <c r="S2126" s="23" t="s">
        <v>5949</v>
      </c>
      <c r="T2126" s="23" t="s">
        <v>4931</v>
      </c>
      <c r="U2126" s="3">
        <v>34</v>
      </c>
      <c r="W2126" s="45" t="str">
        <f>HYPERLINK("http://ictvonline.org/taxonomy/p/taxonomy-history?taxnode_id=201855407","ICTVonline=201855407")</f>
        <v>ICTVonline=201855407</v>
      </c>
      <c r="AA2126" s="1">
        <v>201850000</v>
      </c>
      <c r="AB2126" s="1">
        <v>34</v>
      </c>
    </row>
    <row r="2127" spans="1:28" x14ac:dyDescent="0.15">
      <c r="A2127" s="1">
        <v>5403</v>
      </c>
      <c r="B2127" s="1" t="s">
        <v>7159</v>
      </c>
      <c r="L2127" s="1" t="s">
        <v>1995</v>
      </c>
      <c r="N2127" s="1" t="s">
        <v>260</v>
      </c>
      <c r="P2127" s="1" t="s">
        <v>262</v>
      </c>
      <c r="Q2127" s="3">
        <v>1</v>
      </c>
      <c r="S2127" s="23" t="s">
        <v>5949</v>
      </c>
      <c r="T2127" s="23" t="s">
        <v>4931</v>
      </c>
      <c r="U2127" s="3">
        <v>34</v>
      </c>
      <c r="W2127" s="45" t="str">
        <f>HYPERLINK("http://ictvonline.org/taxonomy/p/taxonomy-history?taxnode_id=201855408","ICTVonline=201855408")</f>
        <v>ICTVonline=201855408</v>
      </c>
      <c r="AA2127" s="1">
        <v>201850000</v>
      </c>
      <c r="AB2127" s="1">
        <v>34</v>
      </c>
    </row>
    <row r="2128" spans="1:28" x14ac:dyDescent="0.15">
      <c r="A2128" s="1">
        <v>5405</v>
      </c>
      <c r="B2128" s="1" t="s">
        <v>7159</v>
      </c>
      <c r="L2128" s="1" t="s">
        <v>1995</v>
      </c>
      <c r="N2128" s="1" t="s">
        <v>260</v>
      </c>
      <c r="P2128" s="1" t="s">
        <v>263</v>
      </c>
      <c r="Q2128" s="3">
        <v>0</v>
      </c>
      <c r="S2128" s="23" t="s">
        <v>5949</v>
      </c>
      <c r="T2128" s="23" t="s">
        <v>4931</v>
      </c>
      <c r="U2128" s="3">
        <v>34</v>
      </c>
      <c r="W2128" s="45" t="str">
        <f>HYPERLINK("http://ictvonline.org/taxonomy/p/taxonomy-history?taxnode_id=201855409","ICTVonline=201855409")</f>
        <v>ICTVonline=201855409</v>
      </c>
      <c r="AA2128" s="1">
        <v>201850000</v>
      </c>
      <c r="AB2128" s="1">
        <v>34</v>
      </c>
    </row>
    <row r="2129" spans="1:28" x14ac:dyDescent="0.15">
      <c r="A2129" s="1">
        <v>5407</v>
      </c>
      <c r="B2129" s="1" t="s">
        <v>7159</v>
      </c>
      <c r="L2129" s="1" t="s">
        <v>1995</v>
      </c>
      <c r="N2129" s="1" t="s">
        <v>260</v>
      </c>
      <c r="P2129" s="1" t="s">
        <v>264</v>
      </c>
      <c r="Q2129" s="3">
        <v>0</v>
      </c>
      <c r="S2129" s="23" t="s">
        <v>5949</v>
      </c>
      <c r="T2129" s="23" t="s">
        <v>4931</v>
      </c>
      <c r="U2129" s="3">
        <v>34</v>
      </c>
      <c r="W2129" s="45" t="str">
        <f>HYPERLINK("http://ictvonline.org/taxonomy/p/taxonomy-history?taxnode_id=201855410","ICTVonline=201855410")</f>
        <v>ICTVonline=201855410</v>
      </c>
      <c r="AA2129" s="1">
        <v>201850000</v>
      </c>
      <c r="AB2129" s="1">
        <v>34</v>
      </c>
    </row>
    <row r="2130" spans="1:28" x14ac:dyDescent="0.15">
      <c r="A2130" s="1">
        <v>5411</v>
      </c>
      <c r="B2130" s="1" t="s">
        <v>7159</v>
      </c>
      <c r="L2130" s="1" t="s">
        <v>1995</v>
      </c>
      <c r="N2130" s="1" t="s">
        <v>271</v>
      </c>
      <c r="P2130" s="1" t="s">
        <v>272</v>
      </c>
      <c r="Q2130" s="3">
        <v>0</v>
      </c>
      <c r="S2130" s="23" t="s">
        <v>5949</v>
      </c>
      <c r="T2130" s="23" t="s">
        <v>4931</v>
      </c>
      <c r="U2130" s="3">
        <v>34</v>
      </c>
      <c r="W2130" s="45" t="str">
        <f>HYPERLINK("http://ictvonline.org/taxonomy/p/taxonomy-history?taxnode_id=201855412","ICTVonline=201855412")</f>
        <v>ICTVonline=201855412</v>
      </c>
      <c r="AA2130" s="1">
        <v>201850000</v>
      </c>
      <c r="AB2130" s="1">
        <v>34</v>
      </c>
    </row>
    <row r="2131" spans="1:28" x14ac:dyDescent="0.15">
      <c r="A2131" s="1">
        <v>5413</v>
      </c>
      <c r="B2131" s="1" t="s">
        <v>7159</v>
      </c>
      <c r="L2131" s="1" t="s">
        <v>1995</v>
      </c>
      <c r="N2131" s="1" t="s">
        <v>271</v>
      </c>
      <c r="P2131" s="1" t="s">
        <v>273</v>
      </c>
      <c r="Q2131" s="3">
        <v>1</v>
      </c>
      <c r="S2131" s="23" t="s">
        <v>5949</v>
      </c>
      <c r="T2131" s="23" t="s">
        <v>4931</v>
      </c>
      <c r="U2131" s="3">
        <v>34</v>
      </c>
      <c r="W2131" s="45" t="str">
        <f>HYPERLINK("http://ictvonline.org/taxonomy/p/taxonomy-history?taxnode_id=201855413","ICTVonline=201855413")</f>
        <v>ICTVonline=201855413</v>
      </c>
      <c r="AA2131" s="1">
        <v>201850000</v>
      </c>
      <c r="AB2131" s="1">
        <v>34</v>
      </c>
    </row>
    <row r="2132" spans="1:28" x14ac:dyDescent="0.15">
      <c r="A2132" s="1">
        <v>5417</v>
      </c>
      <c r="B2132" s="1" t="s">
        <v>7159</v>
      </c>
      <c r="L2132" s="1" t="s">
        <v>1995</v>
      </c>
      <c r="N2132" s="1" t="s">
        <v>400</v>
      </c>
      <c r="P2132" s="1" t="s">
        <v>401</v>
      </c>
      <c r="Q2132" s="3">
        <v>0</v>
      </c>
      <c r="S2132" s="23" t="s">
        <v>5949</v>
      </c>
      <c r="T2132" s="23" t="s">
        <v>4931</v>
      </c>
      <c r="U2132" s="3">
        <v>34</v>
      </c>
      <c r="W2132" s="45" t="str">
        <f>HYPERLINK("http://ictvonline.org/taxonomy/p/taxonomy-history?taxnode_id=201855415","ICTVonline=201855415")</f>
        <v>ICTVonline=201855415</v>
      </c>
      <c r="AA2132" s="1">
        <v>201850000</v>
      </c>
      <c r="AB2132" s="1">
        <v>34</v>
      </c>
    </row>
    <row r="2133" spans="1:28" x14ac:dyDescent="0.15">
      <c r="A2133" s="1">
        <v>5419</v>
      </c>
      <c r="B2133" s="1" t="s">
        <v>7159</v>
      </c>
      <c r="L2133" s="1" t="s">
        <v>1995</v>
      </c>
      <c r="N2133" s="1" t="s">
        <v>400</v>
      </c>
      <c r="P2133" s="1" t="s">
        <v>402</v>
      </c>
      <c r="Q2133" s="3">
        <v>0</v>
      </c>
      <c r="S2133" s="23" t="s">
        <v>5949</v>
      </c>
      <c r="T2133" s="23" t="s">
        <v>4931</v>
      </c>
      <c r="U2133" s="3">
        <v>34</v>
      </c>
      <c r="W2133" s="45" t="str">
        <f>HYPERLINK("http://ictvonline.org/taxonomy/p/taxonomy-history?taxnode_id=201855416","ICTVonline=201855416")</f>
        <v>ICTVonline=201855416</v>
      </c>
      <c r="AA2133" s="1">
        <v>201850000</v>
      </c>
      <c r="AB2133" s="1">
        <v>34</v>
      </c>
    </row>
    <row r="2134" spans="1:28" x14ac:dyDescent="0.15">
      <c r="A2134" s="1">
        <v>5421</v>
      </c>
      <c r="B2134" s="1" t="s">
        <v>7159</v>
      </c>
      <c r="L2134" s="1" t="s">
        <v>1995</v>
      </c>
      <c r="N2134" s="1" t="s">
        <v>400</v>
      </c>
      <c r="P2134" s="1" t="s">
        <v>403</v>
      </c>
      <c r="Q2134" s="3">
        <v>0</v>
      </c>
      <c r="S2134" s="23" t="s">
        <v>5949</v>
      </c>
      <c r="T2134" s="23" t="s">
        <v>4931</v>
      </c>
      <c r="U2134" s="3">
        <v>34</v>
      </c>
      <c r="W2134" s="45" t="str">
        <f>HYPERLINK("http://ictvonline.org/taxonomy/p/taxonomy-history?taxnode_id=201855417","ICTVonline=201855417")</f>
        <v>ICTVonline=201855417</v>
      </c>
      <c r="AA2134" s="1">
        <v>201850000</v>
      </c>
      <c r="AB2134" s="1">
        <v>34</v>
      </c>
    </row>
    <row r="2135" spans="1:28" x14ac:dyDescent="0.15">
      <c r="A2135" s="1">
        <v>5423</v>
      </c>
      <c r="B2135" s="1" t="s">
        <v>7159</v>
      </c>
      <c r="L2135" s="1" t="s">
        <v>1995</v>
      </c>
      <c r="N2135" s="1" t="s">
        <v>400</v>
      </c>
      <c r="P2135" s="1" t="s">
        <v>4925</v>
      </c>
      <c r="Q2135" s="3">
        <v>0</v>
      </c>
      <c r="S2135" s="23" t="s">
        <v>5949</v>
      </c>
      <c r="T2135" s="23" t="s">
        <v>4931</v>
      </c>
      <c r="U2135" s="3">
        <v>34</v>
      </c>
      <c r="W2135" s="45" t="str">
        <f>HYPERLINK("http://ictvonline.org/taxonomy/p/taxonomy-history?taxnode_id=201855418","ICTVonline=201855418")</f>
        <v>ICTVonline=201855418</v>
      </c>
      <c r="AA2135" s="1">
        <v>201850000</v>
      </c>
      <c r="AB2135" s="1">
        <v>34</v>
      </c>
    </row>
    <row r="2136" spans="1:28" x14ac:dyDescent="0.15">
      <c r="A2136" s="1">
        <v>5425</v>
      </c>
      <c r="B2136" s="1" t="s">
        <v>7159</v>
      </c>
      <c r="L2136" s="1" t="s">
        <v>1995</v>
      </c>
      <c r="N2136" s="1" t="s">
        <v>400</v>
      </c>
      <c r="P2136" s="1" t="s">
        <v>404</v>
      </c>
      <c r="Q2136" s="3">
        <v>1</v>
      </c>
      <c r="S2136" s="23" t="s">
        <v>5949</v>
      </c>
      <c r="T2136" s="23" t="s">
        <v>4931</v>
      </c>
      <c r="U2136" s="3">
        <v>34</v>
      </c>
      <c r="W2136" s="45" t="str">
        <f>HYPERLINK("http://ictvonline.org/taxonomy/p/taxonomy-history?taxnode_id=201855419","ICTVonline=201855419")</f>
        <v>ICTVonline=201855419</v>
      </c>
      <c r="AA2136" s="1">
        <v>201850000</v>
      </c>
      <c r="AB2136" s="1">
        <v>34</v>
      </c>
    </row>
    <row r="2137" spans="1:28" x14ac:dyDescent="0.15">
      <c r="A2137" s="1">
        <v>5429</v>
      </c>
      <c r="B2137" s="1" t="s">
        <v>7159</v>
      </c>
      <c r="L2137" s="1" t="s">
        <v>1995</v>
      </c>
      <c r="N2137" s="1" t="s">
        <v>441</v>
      </c>
      <c r="P2137" s="1" t="s">
        <v>2282</v>
      </c>
      <c r="Q2137" s="3">
        <v>0</v>
      </c>
      <c r="S2137" s="23" t="s">
        <v>5949</v>
      </c>
      <c r="T2137" s="23" t="s">
        <v>4931</v>
      </c>
      <c r="U2137" s="3">
        <v>34</v>
      </c>
      <c r="W2137" s="45" t="str">
        <f>HYPERLINK("http://ictvonline.org/taxonomy/p/taxonomy-history?taxnode_id=201855421","ICTVonline=201855421")</f>
        <v>ICTVonline=201855421</v>
      </c>
      <c r="AA2137" s="1">
        <v>201850000</v>
      </c>
      <c r="AB2137" s="1">
        <v>34</v>
      </c>
    </row>
    <row r="2138" spans="1:28" x14ac:dyDescent="0.15">
      <c r="A2138" s="1">
        <v>5431</v>
      </c>
      <c r="B2138" s="1" t="s">
        <v>7159</v>
      </c>
      <c r="L2138" s="1" t="s">
        <v>1995</v>
      </c>
      <c r="N2138" s="1" t="s">
        <v>441</v>
      </c>
      <c r="P2138" s="1" t="s">
        <v>1525</v>
      </c>
      <c r="Q2138" s="3">
        <v>0</v>
      </c>
      <c r="S2138" s="23" t="s">
        <v>5949</v>
      </c>
      <c r="T2138" s="23" t="s">
        <v>4931</v>
      </c>
      <c r="U2138" s="3">
        <v>34</v>
      </c>
      <c r="W2138" s="45" t="str">
        <f>HYPERLINK("http://ictvonline.org/taxonomy/p/taxonomy-history?taxnode_id=201855422","ICTVonline=201855422")</f>
        <v>ICTVonline=201855422</v>
      </c>
      <c r="AA2138" s="1">
        <v>201850000</v>
      </c>
      <c r="AB2138" s="1">
        <v>34</v>
      </c>
    </row>
    <row r="2139" spans="1:28" x14ac:dyDescent="0.15">
      <c r="A2139" s="1">
        <v>5433</v>
      </c>
      <c r="B2139" s="1" t="s">
        <v>7159</v>
      </c>
      <c r="L2139" s="1" t="s">
        <v>1995</v>
      </c>
      <c r="N2139" s="1" t="s">
        <v>441</v>
      </c>
      <c r="P2139" s="1" t="s">
        <v>2283</v>
      </c>
      <c r="Q2139" s="3">
        <v>0</v>
      </c>
      <c r="S2139" s="23" t="s">
        <v>5949</v>
      </c>
      <c r="T2139" s="23" t="s">
        <v>4931</v>
      </c>
      <c r="U2139" s="3">
        <v>34</v>
      </c>
      <c r="W2139" s="45" t="str">
        <f>HYPERLINK("http://ictvonline.org/taxonomy/p/taxonomy-history?taxnode_id=201855423","ICTVonline=201855423")</f>
        <v>ICTVonline=201855423</v>
      </c>
      <c r="AA2139" s="1">
        <v>201850000</v>
      </c>
      <c r="AB2139" s="1">
        <v>34</v>
      </c>
    </row>
    <row r="2140" spans="1:28" x14ac:dyDescent="0.15">
      <c r="A2140" s="1">
        <v>5435</v>
      </c>
      <c r="B2140" s="1" t="s">
        <v>7159</v>
      </c>
      <c r="L2140" s="1" t="s">
        <v>1995</v>
      </c>
      <c r="N2140" s="1" t="s">
        <v>441</v>
      </c>
      <c r="P2140" s="1" t="s">
        <v>2284</v>
      </c>
      <c r="Q2140" s="3">
        <v>0</v>
      </c>
      <c r="S2140" s="23" t="s">
        <v>5949</v>
      </c>
      <c r="T2140" s="23" t="s">
        <v>4931</v>
      </c>
      <c r="U2140" s="3">
        <v>34</v>
      </c>
      <c r="W2140" s="45" t="str">
        <f>HYPERLINK("http://ictvonline.org/taxonomy/p/taxonomy-history?taxnode_id=201855424","ICTVonline=201855424")</f>
        <v>ICTVonline=201855424</v>
      </c>
      <c r="AA2140" s="1">
        <v>201850000</v>
      </c>
      <c r="AB2140" s="1">
        <v>34</v>
      </c>
    </row>
    <row r="2141" spans="1:28" x14ac:dyDescent="0.15">
      <c r="A2141" s="1">
        <v>5437</v>
      </c>
      <c r="B2141" s="1" t="s">
        <v>7159</v>
      </c>
      <c r="L2141" s="1" t="s">
        <v>1995</v>
      </c>
      <c r="N2141" s="1" t="s">
        <v>441</v>
      </c>
      <c r="P2141" s="1" t="s">
        <v>442</v>
      </c>
      <c r="Q2141" s="3">
        <v>0</v>
      </c>
      <c r="S2141" s="23" t="s">
        <v>5949</v>
      </c>
      <c r="T2141" s="23" t="s">
        <v>4931</v>
      </c>
      <c r="U2141" s="3">
        <v>34</v>
      </c>
      <c r="W2141" s="45" t="str">
        <f>HYPERLINK("http://ictvonline.org/taxonomy/p/taxonomy-history?taxnode_id=201855425","ICTVonline=201855425")</f>
        <v>ICTVonline=201855425</v>
      </c>
      <c r="AA2141" s="1">
        <v>201850000</v>
      </c>
      <c r="AB2141" s="1">
        <v>34</v>
      </c>
    </row>
    <row r="2142" spans="1:28" x14ac:dyDescent="0.15">
      <c r="A2142" s="1">
        <v>5439</v>
      </c>
      <c r="B2142" s="1" t="s">
        <v>7159</v>
      </c>
      <c r="L2142" s="1" t="s">
        <v>1995</v>
      </c>
      <c r="N2142" s="1" t="s">
        <v>441</v>
      </c>
      <c r="P2142" s="1" t="s">
        <v>443</v>
      </c>
      <c r="Q2142" s="3">
        <v>0</v>
      </c>
      <c r="S2142" s="23" t="s">
        <v>5949</v>
      </c>
      <c r="T2142" s="23" t="s">
        <v>4931</v>
      </c>
      <c r="U2142" s="3">
        <v>34</v>
      </c>
      <c r="W2142" s="45" t="str">
        <f>HYPERLINK("http://ictvonline.org/taxonomy/p/taxonomy-history?taxnode_id=201855426","ICTVonline=201855426")</f>
        <v>ICTVonline=201855426</v>
      </c>
      <c r="AA2142" s="1">
        <v>201850000</v>
      </c>
      <c r="AB2142" s="1">
        <v>34</v>
      </c>
    </row>
    <row r="2143" spans="1:28" x14ac:dyDescent="0.15">
      <c r="A2143" s="1">
        <v>5441</v>
      </c>
      <c r="B2143" s="1" t="s">
        <v>7159</v>
      </c>
      <c r="L2143" s="1" t="s">
        <v>1995</v>
      </c>
      <c r="N2143" s="1" t="s">
        <v>441</v>
      </c>
      <c r="P2143" s="1" t="s">
        <v>2285</v>
      </c>
      <c r="Q2143" s="3">
        <v>0</v>
      </c>
      <c r="S2143" s="23" t="s">
        <v>5949</v>
      </c>
      <c r="T2143" s="23" t="s">
        <v>4931</v>
      </c>
      <c r="U2143" s="3">
        <v>34</v>
      </c>
      <c r="W2143" s="45" t="str">
        <f>HYPERLINK("http://ictvonline.org/taxonomy/p/taxonomy-history?taxnode_id=201855427","ICTVonline=201855427")</f>
        <v>ICTVonline=201855427</v>
      </c>
      <c r="AA2143" s="1">
        <v>201850000</v>
      </c>
      <c r="AB2143" s="1">
        <v>34</v>
      </c>
    </row>
    <row r="2144" spans="1:28" x14ac:dyDescent="0.15">
      <c r="A2144" s="1">
        <v>5443</v>
      </c>
      <c r="B2144" s="1" t="s">
        <v>7159</v>
      </c>
      <c r="L2144" s="1" t="s">
        <v>1995</v>
      </c>
      <c r="N2144" s="1" t="s">
        <v>441</v>
      </c>
      <c r="P2144" s="1" t="s">
        <v>444</v>
      </c>
      <c r="Q2144" s="3">
        <v>0</v>
      </c>
      <c r="S2144" s="23" t="s">
        <v>5949</v>
      </c>
      <c r="T2144" s="23" t="s">
        <v>4931</v>
      </c>
      <c r="U2144" s="3">
        <v>34</v>
      </c>
      <c r="W2144" s="45" t="str">
        <f>HYPERLINK("http://ictvonline.org/taxonomy/p/taxonomy-history?taxnode_id=201855428","ICTVonline=201855428")</f>
        <v>ICTVonline=201855428</v>
      </c>
      <c r="AA2144" s="1">
        <v>201850000</v>
      </c>
      <c r="AB2144" s="1">
        <v>34</v>
      </c>
    </row>
    <row r="2145" spans="1:28" x14ac:dyDescent="0.15">
      <c r="A2145" s="1">
        <v>5445</v>
      </c>
      <c r="B2145" s="1" t="s">
        <v>7159</v>
      </c>
      <c r="L2145" s="1" t="s">
        <v>1995</v>
      </c>
      <c r="N2145" s="1" t="s">
        <v>441</v>
      </c>
      <c r="P2145" s="1" t="s">
        <v>445</v>
      </c>
      <c r="Q2145" s="3">
        <v>0</v>
      </c>
      <c r="S2145" s="23" t="s">
        <v>5949</v>
      </c>
      <c r="T2145" s="23" t="s">
        <v>4931</v>
      </c>
      <c r="U2145" s="3">
        <v>34</v>
      </c>
      <c r="W2145" s="45" t="str">
        <f>HYPERLINK("http://ictvonline.org/taxonomy/p/taxonomy-history?taxnode_id=201855429","ICTVonline=201855429")</f>
        <v>ICTVonline=201855429</v>
      </c>
      <c r="AA2145" s="1">
        <v>201850000</v>
      </c>
      <c r="AB2145" s="1">
        <v>34</v>
      </c>
    </row>
    <row r="2146" spans="1:28" x14ac:dyDescent="0.15">
      <c r="A2146" s="1">
        <v>5447</v>
      </c>
      <c r="B2146" s="1" t="s">
        <v>7159</v>
      </c>
      <c r="L2146" s="1" t="s">
        <v>1995</v>
      </c>
      <c r="N2146" s="1" t="s">
        <v>441</v>
      </c>
      <c r="P2146" s="1" t="s">
        <v>446</v>
      </c>
      <c r="Q2146" s="3">
        <v>0</v>
      </c>
      <c r="S2146" s="23" t="s">
        <v>5949</v>
      </c>
      <c r="T2146" s="23" t="s">
        <v>4931</v>
      </c>
      <c r="U2146" s="3">
        <v>34</v>
      </c>
      <c r="W2146" s="45" t="str">
        <f>HYPERLINK("http://ictvonline.org/taxonomy/p/taxonomy-history?taxnode_id=201855430","ICTVonline=201855430")</f>
        <v>ICTVonline=201855430</v>
      </c>
      <c r="AA2146" s="1">
        <v>201850000</v>
      </c>
      <c r="AB2146" s="1">
        <v>34</v>
      </c>
    </row>
    <row r="2147" spans="1:28" x14ac:dyDescent="0.15">
      <c r="A2147" s="1">
        <v>5449</v>
      </c>
      <c r="B2147" s="1" t="s">
        <v>7159</v>
      </c>
      <c r="L2147" s="1" t="s">
        <v>1995</v>
      </c>
      <c r="N2147" s="1" t="s">
        <v>441</v>
      </c>
      <c r="P2147" s="1" t="s">
        <v>447</v>
      </c>
      <c r="Q2147" s="3">
        <v>0</v>
      </c>
      <c r="S2147" s="23" t="s">
        <v>5949</v>
      </c>
      <c r="T2147" s="23" t="s">
        <v>4931</v>
      </c>
      <c r="U2147" s="3">
        <v>34</v>
      </c>
      <c r="W2147" s="45" t="str">
        <f>HYPERLINK("http://ictvonline.org/taxonomy/p/taxonomy-history?taxnode_id=201855431","ICTVonline=201855431")</f>
        <v>ICTVonline=201855431</v>
      </c>
      <c r="AA2147" s="1">
        <v>201850000</v>
      </c>
      <c r="AB2147" s="1">
        <v>34</v>
      </c>
    </row>
    <row r="2148" spans="1:28" x14ac:dyDescent="0.15">
      <c r="A2148" s="1">
        <v>5451</v>
      </c>
      <c r="B2148" s="1" t="s">
        <v>7159</v>
      </c>
      <c r="L2148" s="1" t="s">
        <v>1995</v>
      </c>
      <c r="N2148" s="1" t="s">
        <v>441</v>
      </c>
      <c r="P2148" s="1" t="s">
        <v>2286</v>
      </c>
      <c r="Q2148" s="3">
        <v>0</v>
      </c>
      <c r="S2148" s="23" t="s">
        <v>5949</v>
      </c>
      <c r="T2148" s="23" t="s">
        <v>4931</v>
      </c>
      <c r="U2148" s="3">
        <v>34</v>
      </c>
      <c r="W2148" s="45" t="str">
        <f>HYPERLINK("http://ictvonline.org/taxonomy/p/taxonomy-history?taxnode_id=201855432","ICTVonline=201855432")</f>
        <v>ICTVonline=201855432</v>
      </c>
      <c r="AA2148" s="1">
        <v>201850000</v>
      </c>
      <c r="AB2148" s="1">
        <v>34</v>
      </c>
    </row>
    <row r="2149" spans="1:28" x14ac:dyDescent="0.15">
      <c r="A2149" s="1">
        <v>5453</v>
      </c>
      <c r="B2149" s="1" t="s">
        <v>7159</v>
      </c>
      <c r="L2149" s="1" t="s">
        <v>1995</v>
      </c>
      <c r="N2149" s="1" t="s">
        <v>441</v>
      </c>
      <c r="P2149" s="1" t="s">
        <v>427</v>
      </c>
      <c r="Q2149" s="3">
        <v>0</v>
      </c>
      <c r="S2149" s="23" t="s">
        <v>5949</v>
      </c>
      <c r="T2149" s="23" t="s">
        <v>4931</v>
      </c>
      <c r="U2149" s="3">
        <v>34</v>
      </c>
      <c r="W2149" s="45" t="str">
        <f>HYPERLINK("http://ictvonline.org/taxonomy/p/taxonomy-history?taxnode_id=201855433","ICTVonline=201855433")</f>
        <v>ICTVonline=201855433</v>
      </c>
      <c r="AA2149" s="1">
        <v>201850000</v>
      </c>
      <c r="AB2149" s="1">
        <v>34</v>
      </c>
    </row>
    <row r="2150" spans="1:28" x14ac:dyDescent="0.15">
      <c r="A2150" s="1">
        <v>5455</v>
      </c>
      <c r="B2150" s="1" t="s">
        <v>7159</v>
      </c>
      <c r="L2150" s="1" t="s">
        <v>1995</v>
      </c>
      <c r="N2150" s="1" t="s">
        <v>441</v>
      </c>
      <c r="P2150" s="1" t="s">
        <v>428</v>
      </c>
      <c r="Q2150" s="3">
        <v>0</v>
      </c>
      <c r="S2150" s="23" t="s">
        <v>5949</v>
      </c>
      <c r="T2150" s="23" t="s">
        <v>4931</v>
      </c>
      <c r="U2150" s="3">
        <v>34</v>
      </c>
      <c r="W2150" s="45" t="str">
        <f>HYPERLINK("http://ictvonline.org/taxonomy/p/taxonomy-history?taxnode_id=201855434","ICTVonline=201855434")</f>
        <v>ICTVonline=201855434</v>
      </c>
      <c r="AA2150" s="1">
        <v>201850000</v>
      </c>
      <c r="AB2150" s="1">
        <v>34</v>
      </c>
    </row>
    <row r="2151" spans="1:28" x14ac:dyDescent="0.15">
      <c r="A2151" s="1">
        <v>5457</v>
      </c>
      <c r="B2151" s="1" t="s">
        <v>7159</v>
      </c>
      <c r="L2151" s="1" t="s">
        <v>1995</v>
      </c>
      <c r="N2151" s="1" t="s">
        <v>441</v>
      </c>
      <c r="P2151" s="1" t="s">
        <v>5600</v>
      </c>
      <c r="Q2151" s="3">
        <v>0</v>
      </c>
      <c r="S2151" s="23" t="s">
        <v>5949</v>
      </c>
      <c r="T2151" s="23" t="s">
        <v>4931</v>
      </c>
      <c r="U2151" s="3">
        <v>34</v>
      </c>
      <c r="W2151" s="45" t="str">
        <f>HYPERLINK("http://ictvonline.org/taxonomy/p/taxonomy-history?taxnode_id=201855442","ICTVonline=201855442")</f>
        <v>ICTVonline=201855442</v>
      </c>
      <c r="AA2151" s="1">
        <v>201850000</v>
      </c>
      <c r="AB2151" s="1">
        <v>34</v>
      </c>
    </row>
    <row r="2152" spans="1:28" x14ac:dyDescent="0.15">
      <c r="A2152" s="1">
        <v>5459</v>
      </c>
      <c r="B2152" s="1" t="s">
        <v>7159</v>
      </c>
      <c r="L2152" s="1" t="s">
        <v>1995</v>
      </c>
      <c r="N2152" s="1" t="s">
        <v>441</v>
      </c>
      <c r="P2152" s="1" t="s">
        <v>429</v>
      </c>
      <c r="Q2152" s="3">
        <v>0</v>
      </c>
      <c r="S2152" s="23" t="s">
        <v>5949</v>
      </c>
      <c r="T2152" s="23" t="s">
        <v>4931</v>
      </c>
      <c r="U2152" s="3">
        <v>34</v>
      </c>
      <c r="W2152" s="45" t="str">
        <f>HYPERLINK("http://ictvonline.org/taxonomy/p/taxonomy-history?taxnode_id=201855435","ICTVonline=201855435")</f>
        <v>ICTVonline=201855435</v>
      </c>
      <c r="AA2152" s="1">
        <v>201850000</v>
      </c>
      <c r="AB2152" s="1">
        <v>34</v>
      </c>
    </row>
    <row r="2153" spans="1:28" x14ac:dyDescent="0.15">
      <c r="A2153" s="1">
        <v>5461</v>
      </c>
      <c r="B2153" s="1" t="s">
        <v>7159</v>
      </c>
      <c r="L2153" s="1" t="s">
        <v>1995</v>
      </c>
      <c r="N2153" s="1" t="s">
        <v>441</v>
      </c>
      <c r="P2153" s="1" t="s">
        <v>2287</v>
      </c>
      <c r="Q2153" s="3">
        <v>0</v>
      </c>
      <c r="S2153" s="23" t="s">
        <v>5949</v>
      </c>
      <c r="T2153" s="23" t="s">
        <v>4931</v>
      </c>
      <c r="U2153" s="3">
        <v>34</v>
      </c>
      <c r="W2153" s="45" t="str">
        <f>HYPERLINK("http://ictvonline.org/taxonomy/p/taxonomy-history?taxnode_id=201855436","ICTVonline=201855436")</f>
        <v>ICTVonline=201855436</v>
      </c>
      <c r="AA2153" s="1">
        <v>201850000</v>
      </c>
      <c r="AB2153" s="1">
        <v>34</v>
      </c>
    </row>
    <row r="2154" spans="1:28" x14ac:dyDescent="0.15">
      <c r="A2154" s="1">
        <v>5463</v>
      </c>
      <c r="B2154" s="1" t="s">
        <v>7159</v>
      </c>
      <c r="L2154" s="1" t="s">
        <v>1995</v>
      </c>
      <c r="N2154" s="1" t="s">
        <v>441</v>
      </c>
      <c r="P2154" s="1" t="s">
        <v>303</v>
      </c>
      <c r="Q2154" s="3">
        <v>0</v>
      </c>
      <c r="S2154" s="23" t="s">
        <v>5949</v>
      </c>
      <c r="T2154" s="23" t="s">
        <v>4931</v>
      </c>
      <c r="U2154" s="3">
        <v>34</v>
      </c>
      <c r="W2154" s="45" t="str">
        <f>HYPERLINK("http://ictvonline.org/taxonomy/p/taxonomy-history?taxnode_id=201855437","ICTVonline=201855437")</f>
        <v>ICTVonline=201855437</v>
      </c>
      <c r="AA2154" s="1">
        <v>201850000</v>
      </c>
      <c r="AB2154" s="1">
        <v>34</v>
      </c>
    </row>
    <row r="2155" spans="1:28" x14ac:dyDescent="0.15">
      <c r="A2155" s="1">
        <v>5465</v>
      </c>
      <c r="B2155" s="1" t="s">
        <v>7159</v>
      </c>
      <c r="L2155" s="1" t="s">
        <v>1995</v>
      </c>
      <c r="N2155" s="1" t="s">
        <v>441</v>
      </c>
      <c r="P2155" s="1" t="s">
        <v>4926</v>
      </c>
      <c r="Q2155" s="3">
        <v>0</v>
      </c>
      <c r="S2155" s="23" t="s">
        <v>5949</v>
      </c>
      <c r="T2155" s="23" t="s">
        <v>4931</v>
      </c>
      <c r="U2155" s="3">
        <v>34</v>
      </c>
      <c r="W2155" s="45" t="str">
        <f>HYPERLINK("http://ictvonline.org/taxonomy/p/taxonomy-history?taxnode_id=201855438","ICTVonline=201855438")</f>
        <v>ICTVonline=201855438</v>
      </c>
      <c r="AA2155" s="1">
        <v>201850000</v>
      </c>
      <c r="AB2155" s="1">
        <v>34</v>
      </c>
    </row>
    <row r="2156" spans="1:28" x14ac:dyDescent="0.15">
      <c r="A2156" s="1">
        <v>5467</v>
      </c>
      <c r="B2156" s="1" t="s">
        <v>7159</v>
      </c>
      <c r="L2156" s="1" t="s">
        <v>1995</v>
      </c>
      <c r="N2156" s="1" t="s">
        <v>441</v>
      </c>
      <c r="P2156" s="1" t="s">
        <v>2288</v>
      </c>
      <c r="Q2156" s="3">
        <v>0</v>
      </c>
      <c r="S2156" s="23" t="s">
        <v>5949</v>
      </c>
      <c r="T2156" s="23" t="s">
        <v>4931</v>
      </c>
      <c r="U2156" s="3">
        <v>34</v>
      </c>
      <c r="W2156" s="45" t="str">
        <f>HYPERLINK("http://ictvonline.org/taxonomy/p/taxonomy-history?taxnode_id=201855439","ICTVonline=201855439")</f>
        <v>ICTVonline=201855439</v>
      </c>
      <c r="AA2156" s="1">
        <v>201850000</v>
      </c>
      <c r="AB2156" s="1">
        <v>34</v>
      </c>
    </row>
    <row r="2157" spans="1:28" x14ac:dyDescent="0.15">
      <c r="A2157" s="1">
        <v>5469</v>
      </c>
      <c r="B2157" s="1" t="s">
        <v>7159</v>
      </c>
      <c r="L2157" s="1" t="s">
        <v>1995</v>
      </c>
      <c r="N2157" s="1" t="s">
        <v>441</v>
      </c>
      <c r="P2157" s="1" t="s">
        <v>1524</v>
      </c>
      <c r="Q2157" s="3">
        <v>0</v>
      </c>
      <c r="S2157" s="23" t="s">
        <v>5949</v>
      </c>
      <c r="T2157" s="23" t="s">
        <v>4931</v>
      </c>
      <c r="U2157" s="3">
        <v>34</v>
      </c>
      <c r="W2157" s="45" t="str">
        <f>HYPERLINK("http://ictvonline.org/taxonomy/p/taxonomy-history?taxnode_id=201855440","ICTVonline=201855440")</f>
        <v>ICTVonline=201855440</v>
      </c>
      <c r="AA2157" s="1">
        <v>201850000</v>
      </c>
      <c r="AB2157" s="1">
        <v>34</v>
      </c>
    </row>
    <row r="2158" spans="1:28" x14ac:dyDescent="0.15">
      <c r="A2158" s="1">
        <v>5471</v>
      </c>
      <c r="B2158" s="1" t="s">
        <v>7159</v>
      </c>
      <c r="L2158" s="1" t="s">
        <v>1995</v>
      </c>
      <c r="N2158" s="1" t="s">
        <v>441</v>
      </c>
      <c r="P2158" s="1" t="s">
        <v>304</v>
      </c>
      <c r="Q2158" s="3">
        <v>0</v>
      </c>
      <c r="S2158" s="23" t="s">
        <v>5949</v>
      </c>
      <c r="T2158" s="23" t="s">
        <v>4931</v>
      </c>
      <c r="U2158" s="3">
        <v>34</v>
      </c>
      <c r="W2158" s="45" t="str">
        <f>HYPERLINK("http://ictvonline.org/taxonomy/p/taxonomy-history?taxnode_id=201855441","ICTVonline=201855441")</f>
        <v>ICTVonline=201855441</v>
      </c>
      <c r="AA2158" s="1">
        <v>201850000</v>
      </c>
      <c r="AB2158" s="1">
        <v>34</v>
      </c>
    </row>
    <row r="2159" spans="1:28" x14ac:dyDescent="0.15">
      <c r="A2159" s="1">
        <v>5473</v>
      </c>
      <c r="B2159" s="1" t="s">
        <v>7159</v>
      </c>
      <c r="L2159" s="1" t="s">
        <v>1995</v>
      </c>
      <c r="N2159" s="1" t="s">
        <v>441</v>
      </c>
      <c r="P2159" s="1" t="s">
        <v>1526</v>
      </c>
      <c r="Q2159" s="3">
        <v>0</v>
      </c>
      <c r="S2159" s="23" t="s">
        <v>5949</v>
      </c>
      <c r="T2159" s="23" t="s">
        <v>4931</v>
      </c>
      <c r="U2159" s="3">
        <v>34</v>
      </c>
      <c r="W2159" s="45" t="str">
        <f>HYPERLINK("http://ictvonline.org/taxonomy/p/taxonomy-history?taxnode_id=201855443","ICTVonline=201855443")</f>
        <v>ICTVonline=201855443</v>
      </c>
      <c r="AA2159" s="1">
        <v>201850000</v>
      </c>
      <c r="AB2159" s="1">
        <v>34</v>
      </c>
    </row>
    <row r="2160" spans="1:28" x14ac:dyDescent="0.15">
      <c r="A2160" s="1">
        <v>5475</v>
      </c>
      <c r="B2160" s="1" t="s">
        <v>7159</v>
      </c>
      <c r="L2160" s="1" t="s">
        <v>1995</v>
      </c>
      <c r="N2160" s="1" t="s">
        <v>441</v>
      </c>
      <c r="P2160" s="1" t="s">
        <v>305</v>
      </c>
      <c r="Q2160" s="3">
        <v>0</v>
      </c>
      <c r="S2160" s="23" t="s">
        <v>5949</v>
      </c>
      <c r="T2160" s="23" t="s">
        <v>4931</v>
      </c>
      <c r="U2160" s="3">
        <v>34</v>
      </c>
      <c r="W2160" s="45" t="str">
        <f>HYPERLINK("http://ictvonline.org/taxonomy/p/taxonomy-history?taxnode_id=201855444","ICTVonline=201855444")</f>
        <v>ICTVonline=201855444</v>
      </c>
      <c r="AA2160" s="1">
        <v>201850000</v>
      </c>
      <c r="AB2160" s="1">
        <v>34</v>
      </c>
    </row>
    <row r="2161" spans="1:28" x14ac:dyDescent="0.15">
      <c r="A2161" s="1">
        <v>5477</v>
      </c>
      <c r="B2161" s="1" t="s">
        <v>7159</v>
      </c>
      <c r="L2161" s="1" t="s">
        <v>1995</v>
      </c>
      <c r="N2161" s="1" t="s">
        <v>441</v>
      </c>
      <c r="P2161" s="1" t="s">
        <v>1177</v>
      </c>
      <c r="Q2161" s="3">
        <v>0</v>
      </c>
      <c r="S2161" s="23" t="s">
        <v>5949</v>
      </c>
      <c r="T2161" s="23" t="s">
        <v>4931</v>
      </c>
      <c r="U2161" s="3">
        <v>34</v>
      </c>
      <c r="W2161" s="45" t="str">
        <f>HYPERLINK("http://ictvonline.org/taxonomy/p/taxonomy-history?taxnode_id=201855445","ICTVonline=201855445")</f>
        <v>ICTVonline=201855445</v>
      </c>
      <c r="AA2161" s="1">
        <v>201850000</v>
      </c>
      <c r="AB2161" s="1">
        <v>34</v>
      </c>
    </row>
    <row r="2162" spans="1:28" x14ac:dyDescent="0.15">
      <c r="A2162" s="1">
        <v>5479</v>
      </c>
      <c r="B2162" s="1" t="s">
        <v>7159</v>
      </c>
      <c r="L2162" s="1" t="s">
        <v>1995</v>
      </c>
      <c r="N2162" s="1" t="s">
        <v>441</v>
      </c>
      <c r="P2162" s="1" t="s">
        <v>1699</v>
      </c>
      <c r="Q2162" s="3">
        <v>0</v>
      </c>
      <c r="S2162" s="23" t="s">
        <v>5949</v>
      </c>
      <c r="T2162" s="23" t="s">
        <v>4931</v>
      </c>
      <c r="U2162" s="3">
        <v>34</v>
      </c>
      <c r="W2162" s="45" t="str">
        <f>HYPERLINK("http://ictvonline.org/taxonomy/p/taxonomy-history?taxnode_id=201855446","ICTVonline=201855446")</f>
        <v>ICTVonline=201855446</v>
      </c>
      <c r="AA2162" s="1">
        <v>201850000</v>
      </c>
      <c r="AB2162" s="1">
        <v>34</v>
      </c>
    </row>
    <row r="2163" spans="1:28" x14ac:dyDescent="0.15">
      <c r="A2163" s="1">
        <v>5481</v>
      </c>
      <c r="B2163" s="1" t="s">
        <v>7159</v>
      </c>
      <c r="L2163" s="1" t="s">
        <v>1995</v>
      </c>
      <c r="N2163" s="1" t="s">
        <v>441</v>
      </c>
      <c r="P2163" s="1" t="s">
        <v>1700</v>
      </c>
      <c r="Q2163" s="3">
        <v>1</v>
      </c>
      <c r="S2163" s="23" t="s">
        <v>5949</v>
      </c>
      <c r="T2163" s="23" t="s">
        <v>4931</v>
      </c>
      <c r="U2163" s="3">
        <v>34</v>
      </c>
      <c r="W2163" s="45" t="str">
        <f>HYPERLINK("http://ictvonline.org/taxonomy/p/taxonomy-history?taxnode_id=201855447","ICTVonline=201855447")</f>
        <v>ICTVonline=201855447</v>
      </c>
      <c r="AA2163" s="1">
        <v>201850000</v>
      </c>
      <c r="AB2163" s="1">
        <v>34</v>
      </c>
    </row>
    <row r="2164" spans="1:28" x14ac:dyDescent="0.15">
      <c r="A2164" s="1">
        <v>5483</v>
      </c>
      <c r="B2164" s="1" t="s">
        <v>7159</v>
      </c>
      <c r="L2164" s="1" t="s">
        <v>1995</v>
      </c>
      <c r="N2164" s="1" t="s">
        <v>441</v>
      </c>
      <c r="P2164" s="1" t="s">
        <v>4927</v>
      </c>
      <c r="Q2164" s="3">
        <v>0</v>
      </c>
      <c r="S2164" s="23" t="s">
        <v>5949</v>
      </c>
      <c r="T2164" s="23" t="s">
        <v>4931</v>
      </c>
      <c r="U2164" s="3">
        <v>34</v>
      </c>
      <c r="W2164" s="45" t="str">
        <f>HYPERLINK("http://ictvonline.org/taxonomy/p/taxonomy-history?taxnode_id=201855448","ICTVonline=201855448")</f>
        <v>ICTVonline=201855448</v>
      </c>
      <c r="AA2164" s="1">
        <v>201850000</v>
      </c>
      <c r="AB2164" s="1">
        <v>34</v>
      </c>
    </row>
    <row r="2165" spans="1:28" x14ac:dyDescent="0.15">
      <c r="A2165" s="1">
        <v>5485</v>
      </c>
      <c r="B2165" s="1" t="s">
        <v>7159</v>
      </c>
      <c r="L2165" s="1" t="s">
        <v>1995</v>
      </c>
      <c r="N2165" s="1" t="s">
        <v>441</v>
      </c>
      <c r="P2165" s="1" t="s">
        <v>1701</v>
      </c>
      <c r="Q2165" s="3">
        <v>0</v>
      </c>
      <c r="S2165" s="23" t="s">
        <v>5949</v>
      </c>
      <c r="T2165" s="23" t="s">
        <v>4931</v>
      </c>
      <c r="U2165" s="3">
        <v>34</v>
      </c>
      <c r="W2165" s="45" t="str">
        <f>HYPERLINK("http://ictvonline.org/taxonomy/p/taxonomy-history?taxnode_id=201855449","ICTVonline=201855449")</f>
        <v>ICTVonline=201855449</v>
      </c>
      <c r="AA2165" s="1">
        <v>201850000</v>
      </c>
      <c r="AB2165" s="1">
        <v>34</v>
      </c>
    </row>
    <row r="2166" spans="1:28" x14ac:dyDescent="0.15">
      <c r="A2166" s="1">
        <v>5487</v>
      </c>
      <c r="B2166" s="1" t="s">
        <v>7159</v>
      </c>
      <c r="L2166" s="1" t="s">
        <v>1995</v>
      </c>
      <c r="N2166" s="1" t="s">
        <v>441</v>
      </c>
      <c r="P2166" s="1" t="s">
        <v>2742</v>
      </c>
      <c r="Q2166" s="3">
        <v>0</v>
      </c>
      <c r="S2166" s="23" t="s">
        <v>5949</v>
      </c>
      <c r="T2166" s="23" t="s">
        <v>4931</v>
      </c>
      <c r="U2166" s="3">
        <v>34</v>
      </c>
      <c r="W2166" s="45" t="str">
        <f>HYPERLINK("http://ictvonline.org/taxonomy/p/taxonomy-history?taxnode_id=201855450","ICTVonline=201855450")</f>
        <v>ICTVonline=201855450</v>
      </c>
      <c r="AA2166" s="1">
        <v>201850000</v>
      </c>
      <c r="AB2166" s="1">
        <v>34</v>
      </c>
    </row>
    <row r="2167" spans="1:28" x14ac:dyDescent="0.15">
      <c r="A2167" s="1">
        <v>5489</v>
      </c>
      <c r="B2167" s="1" t="s">
        <v>7159</v>
      </c>
      <c r="L2167" s="1" t="s">
        <v>1995</v>
      </c>
      <c r="N2167" s="1" t="s">
        <v>441</v>
      </c>
      <c r="P2167" s="1" t="s">
        <v>2289</v>
      </c>
      <c r="Q2167" s="3">
        <v>0</v>
      </c>
      <c r="S2167" s="23" t="s">
        <v>5949</v>
      </c>
      <c r="T2167" s="23" t="s">
        <v>4931</v>
      </c>
      <c r="U2167" s="3">
        <v>34</v>
      </c>
      <c r="W2167" s="45" t="str">
        <f>HYPERLINK("http://ictvonline.org/taxonomy/p/taxonomy-history?taxnode_id=201855451","ICTVonline=201855451")</f>
        <v>ICTVonline=201855451</v>
      </c>
      <c r="AA2167" s="1">
        <v>201850000</v>
      </c>
      <c r="AB2167" s="1">
        <v>34</v>
      </c>
    </row>
    <row r="2168" spans="1:28" x14ac:dyDescent="0.15">
      <c r="A2168" s="1">
        <v>5491</v>
      </c>
      <c r="B2168" s="1" t="s">
        <v>7159</v>
      </c>
      <c r="L2168" s="1" t="s">
        <v>1995</v>
      </c>
      <c r="N2168" s="1" t="s">
        <v>441</v>
      </c>
      <c r="P2168" s="1" t="s">
        <v>1702</v>
      </c>
      <c r="Q2168" s="3">
        <v>0</v>
      </c>
      <c r="S2168" s="23" t="s">
        <v>5949</v>
      </c>
      <c r="T2168" s="23" t="s">
        <v>4931</v>
      </c>
      <c r="U2168" s="3">
        <v>34</v>
      </c>
      <c r="W2168" s="45" t="str">
        <f>HYPERLINK("http://ictvonline.org/taxonomy/p/taxonomy-history?taxnode_id=201855452","ICTVonline=201855452")</f>
        <v>ICTVonline=201855452</v>
      </c>
      <c r="AA2168" s="1">
        <v>201850000</v>
      </c>
      <c r="AB2168" s="1">
        <v>34</v>
      </c>
    </row>
    <row r="2169" spans="1:28" x14ac:dyDescent="0.15">
      <c r="A2169" s="1">
        <v>5493</v>
      </c>
      <c r="B2169" s="1" t="s">
        <v>7159</v>
      </c>
      <c r="L2169" s="1" t="s">
        <v>1995</v>
      </c>
      <c r="N2169" s="1" t="s">
        <v>441</v>
      </c>
      <c r="P2169" s="1" t="s">
        <v>1703</v>
      </c>
      <c r="Q2169" s="3">
        <v>0</v>
      </c>
      <c r="S2169" s="23" t="s">
        <v>5949</v>
      </c>
      <c r="T2169" s="23" t="s">
        <v>4931</v>
      </c>
      <c r="U2169" s="3">
        <v>34</v>
      </c>
      <c r="W2169" s="45" t="str">
        <f>HYPERLINK("http://ictvonline.org/taxonomy/p/taxonomy-history?taxnode_id=201855453","ICTVonline=201855453")</f>
        <v>ICTVonline=201855453</v>
      </c>
      <c r="AA2169" s="1">
        <v>201850000</v>
      </c>
      <c r="AB2169" s="1">
        <v>34</v>
      </c>
    </row>
    <row r="2170" spans="1:28" x14ac:dyDescent="0.15">
      <c r="A2170" s="1">
        <v>5495</v>
      </c>
      <c r="B2170" s="1" t="s">
        <v>7159</v>
      </c>
      <c r="L2170" s="1" t="s">
        <v>1995</v>
      </c>
      <c r="N2170" s="1" t="s">
        <v>441</v>
      </c>
      <c r="P2170" s="1" t="s">
        <v>1704</v>
      </c>
      <c r="Q2170" s="3">
        <v>0</v>
      </c>
      <c r="S2170" s="23" t="s">
        <v>5949</v>
      </c>
      <c r="T2170" s="23" t="s">
        <v>4931</v>
      </c>
      <c r="U2170" s="3">
        <v>34</v>
      </c>
      <c r="W2170" s="45" t="str">
        <f>HYPERLINK("http://ictvonline.org/taxonomy/p/taxonomy-history?taxnode_id=201855454","ICTVonline=201855454")</f>
        <v>ICTVonline=201855454</v>
      </c>
      <c r="AA2170" s="1">
        <v>201850000</v>
      </c>
      <c r="AB2170" s="1">
        <v>34</v>
      </c>
    </row>
    <row r="2171" spans="1:28" x14ac:dyDescent="0.15">
      <c r="A2171" s="1">
        <v>5497</v>
      </c>
      <c r="B2171" s="1" t="s">
        <v>7159</v>
      </c>
      <c r="L2171" s="1" t="s">
        <v>1995</v>
      </c>
      <c r="N2171" s="1" t="s">
        <v>441</v>
      </c>
      <c r="P2171" s="1" t="s">
        <v>2743</v>
      </c>
      <c r="Q2171" s="3">
        <v>0</v>
      </c>
      <c r="S2171" s="23" t="s">
        <v>5949</v>
      </c>
      <c r="T2171" s="23" t="s">
        <v>4931</v>
      </c>
      <c r="U2171" s="3">
        <v>34</v>
      </c>
      <c r="W2171" s="45" t="str">
        <f>HYPERLINK("http://ictvonline.org/taxonomy/p/taxonomy-history?taxnode_id=201855455","ICTVonline=201855455")</f>
        <v>ICTVonline=201855455</v>
      </c>
      <c r="AA2171" s="1">
        <v>201850000</v>
      </c>
      <c r="AB2171" s="1">
        <v>34</v>
      </c>
    </row>
    <row r="2172" spans="1:28" x14ac:dyDescent="0.15">
      <c r="A2172" s="1">
        <v>5499</v>
      </c>
      <c r="B2172" s="1" t="s">
        <v>7159</v>
      </c>
      <c r="L2172" s="1" t="s">
        <v>1995</v>
      </c>
      <c r="N2172" s="1" t="s">
        <v>441</v>
      </c>
      <c r="P2172" s="1" t="s">
        <v>1705</v>
      </c>
      <c r="Q2172" s="3">
        <v>0</v>
      </c>
      <c r="S2172" s="23" t="s">
        <v>5949</v>
      </c>
      <c r="T2172" s="23" t="s">
        <v>4931</v>
      </c>
      <c r="U2172" s="3">
        <v>34</v>
      </c>
      <c r="W2172" s="45" t="str">
        <f>HYPERLINK("http://ictvonline.org/taxonomy/p/taxonomy-history?taxnode_id=201855456","ICTVonline=201855456")</f>
        <v>ICTVonline=201855456</v>
      </c>
      <c r="AA2172" s="1">
        <v>201850000</v>
      </c>
      <c r="AB2172" s="1">
        <v>34</v>
      </c>
    </row>
    <row r="2173" spans="1:28" x14ac:dyDescent="0.15">
      <c r="A2173" s="1">
        <v>5501</v>
      </c>
      <c r="B2173" s="1" t="s">
        <v>7159</v>
      </c>
      <c r="L2173" s="1" t="s">
        <v>1995</v>
      </c>
      <c r="N2173" s="1" t="s">
        <v>441</v>
      </c>
      <c r="P2173" s="1" t="s">
        <v>1706</v>
      </c>
      <c r="Q2173" s="3">
        <v>0</v>
      </c>
      <c r="S2173" s="23" t="s">
        <v>5949</v>
      </c>
      <c r="T2173" s="23" t="s">
        <v>4931</v>
      </c>
      <c r="U2173" s="3">
        <v>34</v>
      </c>
      <c r="W2173" s="45" t="str">
        <f>HYPERLINK("http://ictvonline.org/taxonomy/p/taxonomy-history?taxnode_id=201855457","ICTVonline=201855457")</f>
        <v>ICTVonline=201855457</v>
      </c>
      <c r="AA2173" s="1">
        <v>201850000</v>
      </c>
      <c r="AB2173" s="1">
        <v>34</v>
      </c>
    </row>
    <row r="2174" spans="1:28" x14ac:dyDescent="0.15">
      <c r="A2174" s="1">
        <v>5505</v>
      </c>
      <c r="B2174" s="1" t="s">
        <v>7159</v>
      </c>
      <c r="L2174" s="1" t="s">
        <v>1995</v>
      </c>
      <c r="N2174" s="1" t="s">
        <v>1707</v>
      </c>
      <c r="P2174" s="1" t="s">
        <v>1708</v>
      </c>
      <c r="Q2174" s="3">
        <v>0</v>
      </c>
      <c r="S2174" s="23" t="s">
        <v>5949</v>
      </c>
      <c r="T2174" s="23" t="s">
        <v>4931</v>
      </c>
      <c r="U2174" s="3">
        <v>34</v>
      </c>
      <c r="W2174" s="45" t="str">
        <f>HYPERLINK("http://ictvonline.org/taxonomy/p/taxonomy-history?taxnode_id=201855459","ICTVonline=201855459")</f>
        <v>ICTVonline=201855459</v>
      </c>
      <c r="AA2174" s="1">
        <v>201850000</v>
      </c>
      <c r="AB2174" s="1">
        <v>34</v>
      </c>
    </row>
    <row r="2175" spans="1:28" x14ac:dyDescent="0.15">
      <c r="A2175" s="1">
        <v>5507</v>
      </c>
      <c r="B2175" s="1" t="s">
        <v>7159</v>
      </c>
      <c r="L2175" s="1" t="s">
        <v>1995</v>
      </c>
      <c r="N2175" s="1" t="s">
        <v>1707</v>
      </c>
      <c r="P2175" s="1" t="s">
        <v>1709</v>
      </c>
      <c r="Q2175" s="3">
        <v>0</v>
      </c>
      <c r="S2175" s="23" t="s">
        <v>5949</v>
      </c>
      <c r="T2175" s="23" t="s">
        <v>4931</v>
      </c>
      <c r="U2175" s="3">
        <v>34</v>
      </c>
      <c r="W2175" s="45" t="str">
        <f>HYPERLINK("http://ictvonline.org/taxonomy/p/taxonomy-history?taxnode_id=201855460","ICTVonline=201855460")</f>
        <v>ICTVonline=201855460</v>
      </c>
      <c r="AA2175" s="1">
        <v>201850000</v>
      </c>
      <c r="AB2175" s="1">
        <v>34</v>
      </c>
    </row>
    <row r="2176" spans="1:28" x14ac:dyDescent="0.15">
      <c r="A2176" s="1">
        <v>5509</v>
      </c>
      <c r="B2176" s="1" t="s">
        <v>7159</v>
      </c>
      <c r="L2176" s="1" t="s">
        <v>1995</v>
      </c>
      <c r="N2176" s="1" t="s">
        <v>1707</v>
      </c>
      <c r="P2176" s="1" t="s">
        <v>1710</v>
      </c>
      <c r="Q2176" s="3">
        <v>1</v>
      </c>
      <c r="S2176" s="23" t="s">
        <v>5949</v>
      </c>
      <c r="T2176" s="23" t="s">
        <v>4931</v>
      </c>
      <c r="U2176" s="3">
        <v>34</v>
      </c>
      <c r="W2176" s="45" t="str">
        <f>HYPERLINK("http://ictvonline.org/taxonomy/p/taxonomy-history?taxnode_id=201855461","ICTVonline=201855461")</f>
        <v>ICTVonline=201855461</v>
      </c>
      <c r="AA2176" s="1">
        <v>201850000</v>
      </c>
      <c r="AB2176" s="1">
        <v>34</v>
      </c>
    </row>
    <row r="2177" spans="1:28" x14ac:dyDescent="0.15">
      <c r="A2177" s="1">
        <v>5514</v>
      </c>
      <c r="B2177" s="1" t="s">
        <v>7159</v>
      </c>
      <c r="N2177" s="1" t="s">
        <v>4020</v>
      </c>
      <c r="P2177" s="1" t="s">
        <v>4021</v>
      </c>
      <c r="Q2177" s="3">
        <v>1</v>
      </c>
      <c r="S2177" s="23" t="s">
        <v>5949</v>
      </c>
      <c r="T2177" s="23" t="s">
        <v>4931</v>
      </c>
      <c r="U2177" s="3">
        <v>34</v>
      </c>
      <c r="W2177" s="45" t="str">
        <f>HYPERLINK("http://ictvonline.org/taxonomy/p/taxonomy-history?taxnode_id=201855333","ICTVonline=201855333")</f>
        <v>ICTVonline=201855333</v>
      </c>
      <c r="AA2177" s="1">
        <v>201850000</v>
      </c>
      <c r="AB2177" s="1">
        <v>34</v>
      </c>
    </row>
    <row r="2178" spans="1:28" x14ac:dyDescent="0.15">
      <c r="A2178" s="1">
        <v>5516</v>
      </c>
      <c r="B2178" s="1" t="s">
        <v>7159</v>
      </c>
      <c r="N2178" s="1" t="s">
        <v>4020</v>
      </c>
      <c r="P2178" s="1" t="s">
        <v>4022</v>
      </c>
      <c r="Q2178" s="3">
        <v>0</v>
      </c>
      <c r="S2178" s="23" t="s">
        <v>5949</v>
      </c>
      <c r="T2178" s="23" t="s">
        <v>4931</v>
      </c>
      <c r="U2178" s="3">
        <v>34</v>
      </c>
      <c r="W2178" s="45" t="str">
        <f>HYPERLINK("http://ictvonline.org/taxonomy/p/taxonomy-history?taxnode_id=201855334","ICTVonline=201855334")</f>
        <v>ICTVonline=201855334</v>
      </c>
      <c r="AA2178" s="1">
        <v>201850000</v>
      </c>
      <c r="AB2178" s="1">
        <v>34</v>
      </c>
    </row>
    <row r="2179" spans="1:28" x14ac:dyDescent="0.15">
      <c r="A2179" s="1">
        <v>5518</v>
      </c>
      <c r="B2179" s="1" t="s">
        <v>7159</v>
      </c>
      <c r="N2179" s="1" t="s">
        <v>4020</v>
      </c>
      <c r="P2179" s="1" t="s">
        <v>4023</v>
      </c>
      <c r="Q2179" s="3">
        <v>0</v>
      </c>
      <c r="S2179" s="23" t="s">
        <v>5949</v>
      </c>
      <c r="T2179" s="23" t="s">
        <v>4931</v>
      </c>
      <c r="U2179" s="3">
        <v>34</v>
      </c>
      <c r="W2179" s="45" t="str">
        <f>HYPERLINK("http://ictvonline.org/taxonomy/p/taxonomy-history?taxnode_id=201855335","ICTVonline=201855335")</f>
        <v>ICTVonline=201855335</v>
      </c>
      <c r="AA2179" s="1">
        <v>201850000</v>
      </c>
      <c r="AB2179" s="1">
        <v>34</v>
      </c>
    </row>
    <row r="2180" spans="1:28" x14ac:dyDescent="0.15">
      <c r="A2180" s="1">
        <v>5522</v>
      </c>
      <c r="B2180" s="1" t="s">
        <v>7159</v>
      </c>
      <c r="N2180" s="1" t="s">
        <v>4024</v>
      </c>
      <c r="P2180" s="1" t="s">
        <v>4025</v>
      </c>
      <c r="Q2180" s="3">
        <v>1</v>
      </c>
      <c r="S2180" s="23" t="s">
        <v>5949</v>
      </c>
      <c r="T2180" s="23" t="s">
        <v>4931</v>
      </c>
      <c r="U2180" s="3">
        <v>34</v>
      </c>
      <c r="W2180" s="45" t="str">
        <f>HYPERLINK("http://ictvonline.org/taxonomy/p/taxonomy-history?taxnode_id=201855337","ICTVonline=201855337")</f>
        <v>ICTVonline=201855337</v>
      </c>
      <c r="AA2180" s="1">
        <v>201850000</v>
      </c>
      <c r="AB2180" s="1">
        <v>34</v>
      </c>
    </row>
    <row r="2181" spans="1:28" x14ac:dyDescent="0.15">
      <c r="A2181" s="1">
        <v>5526</v>
      </c>
      <c r="B2181" s="1" t="s">
        <v>7159</v>
      </c>
      <c r="N2181" s="1" t="s">
        <v>4026</v>
      </c>
      <c r="P2181" s="1" t="s">
        <v>4027</v>
      </c>
      <c r="Q2181" s="3">
        <v>1</v>
      </c>
      <c r="S2181" s="23" t="s">
        <v>5949</v>
      </c>
      <c r="T2181" s="23" t="s">
        <v>4931</v>
      </c>
      <c r="U2181" s="3">
        <v>34</v>
      </c>
      <c r="W2181" s="45" t="str">
        <f>HYPERLINK("http://ictvonline.org/taxonomy/p/taxonomy-history?taxnode_id=201855343","ICTVonline=201855343")</f>
        <v>ICTVonline=201855343</v>
      </c>
      <c r="AA2181" s="1">
        <v>201850000</v>
      </c>
      <c r="AB2181" s="1">
        <v>34</v>
      </c>
    </row>
    <row r="2182" spans="1:28" x14ac:dyDescent="0.15">
      <c r="A2182" s="1">
        <v>5530</v>
      </c>
      <c r="B2182" s="1" t="s">
        <v>7159</v>
      </c>
      <c r="N2182" s="1" t="s">
        <v>1258</v>
      </c>
      <c r="P2182" s="1" t="s">
        <v>1259</v>
      </c>
      <c r="Q2182" s="3">
        <v>1</v>
      </c>
      <c r="S2182" s="23" t="s">
        <v>5949</v>
      </c>
      <c r="T2182" s="23" t="s">
        <v>4931</v>
      </c>
      <c r="U2182" s="3">
        <v>34</v>
      </c>
      <c r="W2182" s="45" t="str">
        <f>HYPERLINK("http://ictvonline.org/taxonomy/p/taxonomy-history?taxnode_id=201855348","ICTVonline=201855348")</f>
        <v>ICTVonline=201855348</v>
      </c>
      <c r="AA2182" s="1">
        <v>201850000</v>
      </c>
      <c r="AB2182" s="1">
        <v>34</v>
      </c>
    </row>
    <row r="2183" spans="1:28" x14ac:dyDescent="0.15">
      <c r="A2183" s="1">
        <v>5534</v>
      </c>
      <c r="B2183" s="1" t="s">
        <v>7159</v>
      </c>
      <c r="N2183" s="1" t="s">
        <v>265</v>
      </c>
      <c r="P2183" s="1" t="s">
        <v>7157</v>
      </c>
      <c r="Q2183" s="3">
        <v>0</v>
      </c>
      <c r="S2183" s="23" t="s">
        <v>5949</v>
      </c>
      <c r="T2183" s="23" t="s">
        <v>4929</v>
      </c>
      <c r="U2183" s="3">
        <v>34</v>
      </c>
      <c r="V2183" s="3" t="s">
        <v>7158</v>
      </c>
      <c r="W2183" s="45" t="str">
        <f>HYPERLINK("http://ictvonline.org/taxonomy/p/taxonomy-history?taxnode_id=201856633","ICTVonline=201856633")</f>
        <v>ICTVonline=201856633</v>
      </c>
      <c r="AA2183" s="1">
        <v>201850000</v>
      </c>
      <c r="AB2183" s="1">
        <v>34</v>
      </c>
    </row>
    <row r="2184" spans="1:28" x14ac:dyDescent="0.15">
      <c r="A2184" s="1">
        <v>5536</v>
      </c>
      <c r="B2184" s="1" t="s">
        <v>7159</v>
      </c>
      <c r="N2184" s="1" t="s">
        <v>265</v>
      </c>
      <c r="P2184" s="1" t="s">
        <v>266</v>
      </c>
      <c r="Q2184" s="3">
        <v>1</v>
      </c>
      <c r="S2184" s="23" t="s">
        <v>5949</v>
      </c>
      <c r="T2184" s="23" t="s">
        <v>4931</v>
      </c>
      <c r="U2184" s="3">
        <v>34</v>
      </c>
      <c r="W2184" s="45" t="str">
        <f>HYPERLINK("http://ictvonline.org/taxonomy/p/taxonomy-history?taxnode_id=201855354","ICTVonline=201855354")</f>
        <v>ICTVonline=201855354</v>
      </c>
      <c r="AA2184" s="1">
        <v>201850000</v>
      </c>
      <c r="AB2184" s="1">
        <v>34</v>
      </c>
    </row>
    <row r="2185" spans="1:28" x14ac:dyDescent="0.15">
      <c r="A2185" s="1">
        <v>5540</v>
      </c>
      <c r="B2185" s="1" t="s">
        <v>7159</v>
      </c>
      <c r="N2185" s="1" t="s">
        <v>4028</v>
      </c>
      <c r="P2185" s="1" t="s">
        <v>4029</v>
      </c>
      <c r="Q2185" s="3">
        <v>1</v>
      </c>
      <c r="S2185" s="23" t="s">
        <v>5949</v>
      </c>
      <c r="T2185" s="23" t="s">
        <v>4931</v>
      </c>
      <c r="U2185" s="3">
        <v>34</v>
      </c>
      <c r="W2185" s="45" t="str">
        <f>HYPERLINK("http://ictvonline.org/taxonomy/p/taxonomy-history?taxnode_id=201855360","ICTVonline=201855360")</f>
        <v>ICTVonline=201855360</v>
      </c>
      <c r="AA2185" s="1">
        <v>201850000</v>
      </c>
      <c r="AB2185" s="1">
        <v>34</v>
      </c>
    </row>
    <row r="2186" spans="1:28" x14ac:dyDescent="0.15">
      <c r="A2186" s="1">
        <v>5544</v>
      </c>
      <c r="B2186" s="1" t="s">
        <v>7159</v>
      </c>
      <c r="N2186" s="1" t="s">
        <v>4030</v>
      </c>
      <c r="P2186" s="1" t="s">
        <v>4031</v>
      </c>
      <c r="Q2186" s="3">
        <v>0</v>
      </c>
      <c r="S2186" s="23" t="s">
        <v>5949</v>
      </c>
      <c r="T2186" s="23" t="s">
        <v>4931</v>
      </c>
      <c r="U2186" s="3">
        <v>34</v>
      </c>
      <c r="W2186" s="45" t="str">
        <f>HYPERLINK("http://ictvonline.org/taxonomy/p/taxonomy-history?taxnode_id=201855368","ICTVonline=201855368")</f>
        <v>ICTVonline=201855368</v>
      </c>
      <c r="AA2186" s="1">
        <v>201850000</v>
      </c>
      <c r="AB2186" s="1">
        <v>34</v>
      </c>
    </row>
    <row r="2187" spans="1:28" x14ac:dyDescent="0.15">
      <c r="A2187" s="1">
        <v>5546</v>
      </c>
      <c r="B2187" s="1" t="s">
        <v>7159</v>
      </c>
      <c r="N2187" s="1" t="s">
        <v>4030</v>
      </c>
      <c r="P2187" s="1" t="s">
        <v>4032</v>
      </c>
      <c r="Q2187" s="3">
        <v>1</v>
      </c>
      <c r="S2187" s="23" t="s">
        <v>5949</v>
      </c>
      <c r="T2187" s="23" t="s">
        <v>4931</v>
      </c>
      <c r="U2187" s="3">
        <v>34</v>
      </c>
      <c r="W2187" s="45" t="str">
        <f>HYPERLINK("http://ictvonline.org/taxonomy/p/taxonomy-history?taxnode_id=201855369","ICTVonline=201855369")</f>
        <v>ICTVonline=201855369</v>
      </c>
      <c r="AA2187" s="1">
        <v>201850000</v>
      </c>
      <c r="AB2187" s="1">
        <v>34</v>
      </c>
    </row>
    <row r="2188" spans="1:28" x14ac:dyDescent="0.15">
      <c r="A2188" s="1">
        <v>5550</v>
      </c>
      <c r="B2188" s="1" t="s">
        <v>7159</v>
      </c>
      <c r="N2188" s="1" t="s">
        <v>4038</v>
      </c>
      <c r="P2188" s="1" t="s">
        <v>4039</v>
      </c>
      <c r="Q2188" s="3">
        <v>1</v>
      </c>
      <c r="S2188" s="23" t="s">
        <v>5949</v>
      </c>
      <c r="T2188" s="23" t="s">
        <v>4931</v>
      </c>
      <c r="U2188" s="3">
        <v>34</v>
      </c>
      <c r="W2188" s="45" t="str">
        <f>HYPERLINK("http://ictvonline.org/taxonomy/p/taxonomy-history?taxnode_id=201855393","ICTVonline=201855393")</f>
        <v>ICTVonline=201855393</v>
      </c>
      <c r="AA2188" s="1">
        <v>201850000</v>
      </c>
      <c r="AB2188" s="1">
        <v>34</v>
      </c>
    </row>
    <row r="2189" spans="1:28" x14ac:dyDescent="0.15">
      <c r="A2189" s="1">
        <v>5558</v>
      </c>
      <c r="J2189" s="1" t="s">
        <v>1332</v>
      </c>
      <c r="L2189" s="1" t="s">
        <v>5002</v>
      </c>
      <c r="M2189" s="1" t="s">
        <v>5003</v>
      </c>
      <c r="N2189" s="1" t="s">
        <v>6144</v>
      </c>
      <c r="P2189" s="1" t="s">
        <v>5004</v>
      </c>
      <c r="Q2189" s="3">
        <v>0</v>
      </c>
      <c r="S2189" s="23" t="s">
        <v>5949</v>
      </c>
      <c r="T2189" s="23" t="s">
        <v>4931</v>
      </c>
      <c r="U2189" s="3">
        <v>34</v>
      </c>
      <c r="W2189" s="45" t="str">
        <f>HYPERLINK("http://ictvonline.org/taxonomy/p/taxonomy-history?taxnode_id=201855465","ICTVonline=201855465")</f>
        <v>ICTVonline=201855465</v>
      </c>
      <c r="AA2189" s="1">
        <v>201850000</v>
      </c>
      <c r="AB2189" s="1">
        <v>34</v>
      </c>
    </row>
    <row r="2190" spans="1:28" x14ac:dyDescent="0.15">
      <c r="A2190" s="1">
        <v>5560</v>
      </c>
      <c r="J2190" s="1" t="s">
        <v>1332</v>
      </c>
      <c r="L2190" s="1" t="s">
        <v>5002</v>
      </c>
      <c r="M2190" s="1" t="s">
        <v>5003</v>
      </c>
      <c r="N2190" s="1" t="s">
        <v>6144</v>
      </c>
      <c r="P2190" s="1" t="s">
        <v>2963</v>
      </c>
      <c r="Q2190" s="3">
        <v>1</v>
      </c>
      <c r="S2190" s="23" t="s">
        <v>5949</v>
      </c>
      <c r="T2190" s="23" t="s">
        <v>4931</v>
      </c>
      <c r="U2190" s="3">
        <v>34</v>
      </c>
      <c r="W2190" s="45" t="str">
        <f>HYPERLINK("http://ictvonline.org/taxonomy/p/taxonomy-history?taxnode_id=201850534","ICTVonline=201850534")</f>
        <v>ICTVonline=201850534</v>
      </c>
      <c r="AA2190" s="1">
        <v>201850000</v>
      </c>
      <c r="AB2190" s="1">
        <v>34</v>
      </c>
    </row>
    <row r="2191" spans="1:28" x14ac:dyDescent="0.15">
      <c r="A2191" s="1">
        <v>5564</v>
      </c>
      <c r="J2191" s="1" t="s">
        <v>1332</v>
      </c>
      <c r="L2191" s="1" t="s">
        <v>5002</v>
      </c>
      <c r="M2191" s="1" t="s">
        <v>5003</v>
      </c>
      <c r="N2191" s="1" t="s">
        <v>5005</v>
      </c>
      <c r="P2191" s="1" t="s">
        <v>2950</v>
      </c>
      <c r="Q2191" s="3">
        <v>1</v>
      </c>
      <c r="S2191" s="23" t="s">
        <v>5949</v>
      </c>
      <c r="W2191" s="45" t="str">
        <f>HYPERLINK("http://ictvonline.org/taxonomy/p/taxonomy-history?taxnode_id=201850521","ICTVonline=201850521")</f>
        <v>ICTVonline=201850521</v>
      </c>
      <c r="AA2191" s="1">
        <v>201850000</v>
      </c>
      <c r="AB2191" s="1">
        <v>34</v>
      </c>
    </row>
    <row r="2192" spans="1:28" x14ac:dyDescent="0.15">
      <c r="A2192" s="1">
        <v>5566</v>
      </c>
      <c r="J2192" s="1" t="s">
        <v>1332</v>
      </c>
      <c r="L2192" s="1" t="s">
        <v>5002</v>
      </c>
      <c r="M2192" s="1" t="s">
        <v>5003</v>
      </c>
      <c r="N2192" s="1" t="s">
        <v>5005</v>
      </c>
      <c r="P2192" s="1" t="s">
        <v>5006</v>
      </c>
      <c r="Q2192" s="3">
        <v>0</v>
      </c>
      <c r="S2192" s="23" t="s">
        <v>5949</v>
      </c>
      <c r="W2192" s="45" t="str">
        <f>HYPERLINK("http://ictvonline.org/taxonomy/p/taxonomy-history?taxnode_id=201855467","ICTVonline=201855467")</f>
        <v>ICTVonline=201855467</v>
      </c>
      <c r="AA2192" s="1">
        <v>201850000</v>
      </c>
      <c r="AB2192" s="1">
        <v>34</v>
      </c>
    </row>
    <row r="2193" spans="1:28" x14ac:dyDescent="0.15">
      <c r="A2193" s="1">
        <v>5572</v>
      </c>
      <c r="J2193" s="1" t="s">
        <v>1332</v>
      </c>
      <c r="L2193" s="1" t="s">
        <v>5002</v>
      </c>
      <c r="M2193" s="1" t="s">
        <v>5007</v>
      </c>
      <c r="N2193" s="1" t="s">
        <v>6145</v>
      </c>
      <c r="P2193" s="1" t="s">
        <v>2951</v>
      </c>
      <c r="Q2193" s="3">
        <v>1</v>
      </c>
      <c r="S2193" s="23" t="s">
        <v>5949</v>
      </c>
      <c r="T2193" s="23" t="s">
        <v>4931</v>
      </c>
      <c r="U2193" s="3">
        <v>34</v>
      </c>
      <c r="W2193" s="45" t="str">
        <f>HYPERLINK("http://ictvonline.org/taxonomy/p/taxonomy-history?taxnode_id=201850522","ICTVonline=201850522")</f>
        <v>ICTVonline=201850522</v>
      </c>
      <c r="AA2193" s="1">
        <v>201850000</v>
      </c>
      <c r="AB2193" s="1">
        <v>34</v>
      </c>
    </row>
    <row r="2194" spans="1:28" x14ac:dyDescent="0.15">
      <c r="A2194" s="1">
        <v>5574</v>
      </c>
      <c r="J2194" s="1" t="s">
        <v>1332</v>
      </c>
      <c r="L2194" s="1" t="s">
        <v>5002</v>
      </c>
      <c r="M2194" s="1" t="s">
        <v>5007</v>
      </c>
      <c r="N2194" s="1" t="s">
        <v>6145</v>
      </c>
      <c r="P2194" s="1" t="s">
        <v>2953</v>
      </c>
      <c r="Q2194" s="3">
        <v>0</v>
      </c>
      <c r="S2194" s="23" t="s">
        <v>5949</v>
      </c>
      <c r="T2194" s="23" t="s">
        <v>4931</v>
      </c>
      <c r="U2194" s="3">
        <v>34</v>
      </c>
      <c r="W2194" s="45" t="str">
        <f>HYPERLINK("http://ictvonline.org/taxonomy/p/taxonomy-history?taxnode_id=201850524","ICTVonline=201850524")</f>
        <v>ICTVonline=201850524</v>
      </c>
      <c r="AA2194" s="1">
        <v>201850000</v>
      </c>
      <c r="AB2194" s="1">
        <v>34</v>
      </c>
    </row>
    <row r="2195" spans="1:28" x14ac:dyDescent="0.15">
      <c r="A2195" s="1">
        <v>5576</v>
      </c>
      <c r="J2195" s="1" t="s">
        <v>1332</v>
      </c>
      <c r="L2195" s="1" t="s">
        <v>5002</v>
      </c>
      <c r="M2195" s="1" t="s">
        <v>5007</v>
      </c>
      <c r="N2195" s="1" t="s">
        <v>6145</v>
      </c>
      <c r="P2195" s="1" t="s">
        <v>5008</v>
      </c>
      <c r="Q2195" s="3">
        <v>0</v>
      </c>
      <c r="S2195" s="23" t="s">
        <v>5949</v>
      </c>
      <c r="T2195" s="23" t="s">
        <v>4931</v>
      </c>
      <c r="U2195" s="3">
        <v>34</v>
      </c>
      <c r="W2195" s="45" t="str">
        <f>HYPERLINK("http://ictvonline.org/taxonomy/p/taxonomy-history?taxnode_id=201855470","ICTVonline=201855470")</f>
        <v>ICTVonline=201855470</v>
      </c>
      <c r="AA2195" s="1">
        <v>201850000</v>
      </c>
      <c r="AB2195" s="1">
        <v>34</v>
      </c>
    </row>
    <row r="2196" spans="1:28" x14ac:dyDescent="0.15">
      <c r="A2196" s="1">
        <v>5578</v>
      </c>
      <c r="J2196" s="1" t="s">
        <v>1332</v>
      </c>
      <c r="L2196" s="1" t="s">
        <v>5002</v>
      </c>
      <c r="M2196" s="1" t="s">
        <v>5007</v>
      </c>
      <c r="N2196" s="1" t="s">
        <v>6145</v>
      </c>
      <c r="P2196" s="1" t="s">
        <v>2954</v>
      </c>
      <c r="Q2196" s="3">
        <v>0</v>
      </c>
      <c r="S2196" s="23" t="s">
        <v>5949</v>
      </c>
      <c r="T2196" s="23" t="s">
        <v>4931</v>
      </c>
      <c r="U2196" s="3">
        <v>34</v>
      </c>
      <c r="W2196" s="45" t="str">
        <f>HYPERLINK("http://ictvonline.org/taxonomy/p/taxonomy-history?taxnode_id=201850525","ICTVonline=201850525")</f>
        <v>ICTVonline=201850525</v>
      </c>
      <c r="AA2196" s="1">
        <v>201850000</v>
      </c>
      <c r="AB2196" s="1">
        <v>34</v>
      </c>
    </row>
    <row r="2197" spans="1:28" x14ac:dyDescent="0.15">
      <c r="A2197" s="1">
        <v>5580</v>
      </c>
      <c r="J2197" s="1" t="s">
        <v>1332</v>
      </c>
      <c r="L2197" s="1" t="s">
        <v>5002</v>
      </c>
      <c r="M2197" s="1" t="s">
        <v>5007</v>
      </c>
      <c r="N2197" s="1" t="s">
        <v>6145</v>
      </c>
      <c r="P2197" s="1" t="s">
        <v>5009</v>
      </c>
      <c r="Q2197" s="3">
        <v>0</v>
      </c>
      <c r="S2197" s="23" t="s">
        <v>5949</v>
      </c>
      <c r="T2197" s="23" t="s">
        <v>4931</v>
      </c>
      <c r="U2197" s="3">
        <v>34</v>
      </c>
      <c r="W2197" s="45" t="str">
        <f>HYPERLINK("http://ictvonline.org/taxonomy/p/taxonomy-history?taxnode_id=201855471","ICTVonline=201855471")</f>
        <v>ICTVonline=201855471</v>
      </c>
      <c r="AA2197" s="1">
        <v>201850000</v>
      </c>
      <c r="AB2197" s="1">
        <v>34</v>
      </c>
    </row>
    <row r="2198" spans="1:28" x14ac:dyDescent="0.15">
      <c r="A2198" s="1">
        <v>5582</v>
      </c>
      <c r="J2198" s="1" t="s">
        <v>1332</v>
      </c>
      <c r="L2198" s="1" t="s">
        <v>5002</v>
      </c>
      <c r="M2198" s="1" t="s">
        <v>5007</v>
      </c>
      <c r="N2198" s="1" t="s">
        <v>6145</v>
      </c>
      <c r="P2198" s="1" t="s">
        <v>5010</v>
      </c>
      <c r="Q2198" s="3">
        <v>0</v>
      </c>
      <c r="S2198" s="23" t="s">
        <v>5949</v>
      </c>
      <c r="T2198" s="23" t="s">
        <v>4931</v>
      </c>
      <c r="U2198" s="3">
        <v>34</v>
      </c>
      <c r="W2198" s="45" t="str">
        <f>HYPERLINK("http://ictvonline.org/taxonomy/p/taxonomy-history?taxnode_id=201855472","ICTVonline=201855472")</f>
        <v>ICTVonline=201855472</v>
      </c>
      <c r="AA2198" s="1">
        <v>201850000</v>
      </c>
      <c r="AB2198" s="1">
        <v>34</v>
      </c>
    </row>
    <row r="2199" spans="1:28" x14ac:dyDescent="0.15">
      <c r="A2199" s="1">
        <v>5584</v>
      </c>
      <c r="J2199" s="1" t="s">
        <v>1332</v>
      </c>
      <c r="L2199" s="1" t="s">
        <v>5002</v>
      </c>
      <c r="M2199" s="1" t="s">
        <v>5007</v>
      </c>
      <c r="N2199" s="1" t="s">
        <v>6145</v>
      </c>
      <c r="P2199" s="1" t="s">
        <v>2957</v>
      </c>
      <c r="Q2199" s="3">
        <v>0</v>
      </c>
      <c r="S2199" s="23" t="s">
        <v>5949</v>
      </c>
      <c r="T2199" s="23" t="s">
        <v>4931</v>
      </c>
      <c r="U2199" s="3">
        <v>34</v>
      </c>
      <c r="W2199" s="45" t="str">
        <f>HYPERLINK("http://ictvonline.org/taxonomy/p/taxonomy-history?taxnode_id=201850528","ICTVonline=201850528")</f>
        <v>ICTVonline=201850528</v>
      </c>
      <c r="AA2199" s="1">
        <v>201850000</v>
      </c>
      <c r="AB2199" s="1">
        <v>34</v>
      </c>
    </row>
    <row r="2200" spans="1:28" x14ac:dyDescent="0.15">
      <c r="A2200" s="1">
        <v>5586</v>
      </c>
      <c r="J2200" s="1" t="s">
        <v>1332</v>
      </c>
      <c r="L2200" s="1" t="s">
        <v>5002</v>
      </c>
      <c r="M2200" s="1" t="s">
        <v>5007</v>
      </c>
      <c r="N2200" s="1" t="s">
        <v>6145</v>
      </c>
      <c r="P2200" s="1" t="s">
        <v>2958</v>
      </c>
      <c r="Q2200" s="3">
        <v>0</v>
      </c>
      <c r="S2200" s="23" t="s">
        <v>5949</v>
      </c>
      <c r="T2200" s="23" t="s">
        <v>4931</v>
      </c>
      <c r="U2200" s="3">
        <v>34</v>
      </c>
      <c r="W2200" s="45" t="str">
        <f>HYPERLINK("http://ictvonline.org/taxonomy/p/taxonomy-history?taxnode_id=201850529","ICTVonline=201850529")</f>
        <v>ICTVonline=201850529</v>
      </c>
      <c r="AA2200" s="1">
        <v>201850000</v>
      </c>
      <c r="AB2200" s="1">
        <v>34</v>
      </c>
    </row>
    <row r="2201" spans="1:28" x14ac:dyDescent="0.15">
      <c r="A2201" s="1">
        <v>5588</v>
      </c>
      <c r="J2201" s="1" t="s">
        <v>1332</v>
      </c>
      <c r="L2201" s="1" t="s">
        <v>5002</v>
      </c>
      <c r="M2201" s="1" t="s">
        <v>5007</v>
      </c>
      <c r="N2201" s="1" t="s">
        <v>6145</v>
      </c>
      <c r="P2201" s="1" t="s">
        <v>2960</v>
      </c>
      <c r="Q2201" s="3">
        <v>0</v>
      </c>
      <c r="S2201" s="23" t="s">
        <v>5949</v>
      </c>
      <c r="T2201" s="23" t="s">
        <v>4931</v>
      </c>
      <c r="U2201" s="3">
        <v>34</v>
      </c>
      <c r="W2201" s="45" t="str">
        <f>HYPERLINK("http://ictvonline.org/taxonomy/p/taxonomy-history?taxnode_id=201850531","ICTVonline=201850531")</f>
        <v>ICTVonline=201850531</v>
      </c>
      <c r="AA2201" s="1">
        <v>201850000</v>
      </c>
      <c r="AB2201" s="1">
        <v>34</v>
      </c>
    </row>
    <row r="2202" spans="1:28" x14ac:dyDescent="0.15">
      <c r="A2202" s="1">
        <v>5592</v>
      </c>
      <c r="J2202" s="1" t="s">
        <v>1332</v>
      </c>
      <c r="L2202" s="1" t="s">
        <v>5002</v>
      </c>
      <c r="P2202" s="1" t="s">
        <v>5011</v>
      </c>
      <c r="Q2202" s="3">
        <v>0</v>
      </c>
      <c r="S2202" s="23" t="s">
        <v>5949</v>
      </c>
      <c r="W2202" s="45" t="str">
        <f>HYPERLINK("http://ictvonline.org/taxonomy/p/taxonomy-history?taxnode_id=201855475","ICTVonline=201855475")</f>
        <v>ICTVonline=201855475</v>
      </c>
      <c r="AA2202" s="1">
        <v>201850000</v>
      </c>
      <c r="AB2202" s="1">
        <v>34</v>
      </c>
    </row>
    <row r="2203" spans="1:28" x14ac:dyDescent="0.15">
      <c r="A2203" s="1">
        <v>5594</v>
      </c>
      <c r="J2203" s="1" t="s">
        <v>1332</v>
      </c>
      <c r="L2203" s="1" t="s">
        <v>5002</v>
      </c>
      <c r="P2203" s="1" t="s">
        <v>5012</v>
      </c>
      <c r="Q2203" s="3">
        <v>0</v>
      </c>
      <c r="S2203" s="23" t="s">
        <v>5949</v>
      </c>
      <c r="W2203" s="45" t="str">
        <f>HYPERLINK("http://ictvonline.org/taxonomy/p/taxonomy-history?taxnode_id=201855476","ICTVonline=201855476")</f>
        <v>ICTVonline=201855476</v>
      </c>
      <c r="AA2203" s="1">
        <v>201850000</v>
      </c>
      <c r="AB2203" s="1">
        <v>34</v>
      </c>
    </row>
    <row r="2204" spans="1:28" x14ac:dyDescent="0.15">
      <c r="A2204" s="1">
        <v>5596</v>
      </c>
      <c r="J2204" s="1" t="s">
        <v>1332</v>
      </c>
      <c r="L2204" s="1" t="s">
        <v>5002</v>
      </c>
      <c r="P2204" s="1" t="s">
        <v>5013</v>
      </c>
      <c r="Q2204" s="3">
        <v>0</v>
      </c>
      <c r="S2204" s="23" t="s">
        <v>5949</v>
      </c>
      <c r="W2204" s="45" t="str">
        <f>HYPERLINK("http://ictvonline.org/taxonomy/p/taxonomy-history?taxnode_id=201855477","ICTVonline=201855477")</f>
        <v>ICTVonline=201855477</v>
      </c>
      <c r="AA2204" s="1">
        <v>201850000</v>
      </c>
      <c r="AB2204" s="1">
        <v>34</v>
      </c>
    </row>
    <row r="2205" spans="1:28" x14ac:dyDescent="0.15">
      <c r="A2205" s="1">
        <v>5598</v>
      </c>
      <c r="J2205" s="1" t="s">
        <v>1332</v>
      </c>
      <c r="L2205" s="1" t="s">
        <v>5002</v>
      </c>
      <c r="P2205" s="1" t="s">
        <v>5014</v>
      </c>
      <c r="Q2205" s="3">
        <v>0</v>
      </c>
      <c r="S2205" s="23" t="s">
        <v>5949</v>
      </c>
      <c r="W2205" s="45" t="str">
        <f>HYPERLINK("http://ictvonline.org/taxonomy/p/taxonomy-history?taxnode_id=201855478","ICTVonline=201855478")</f>
        <v>ICTVonline=201855478</v>
      </c>
      <c r="AA2205" s="1">
        <v>201850000</v>
      </c>
      <c r="AB2205" s="1">
        <v>34</v>
      </c>
    </row>
    <row r="2206" spans="1:28" x14ac:dyDescent="0.15">
      <c r="A2206" s="1">
        <v>5604</v>
      </c>
      <c r="J2206" s="1" t="s">
        <v>1332</v>
      </c>
      <c r="L2206" s="1" t="s">
        <v>6146</v>
      </c>
      <c r="M2206" s="1" t="s">
        <v>6147</v>
      </c>
      <c r="N2206" s="1" t="s">
        <v>2848</v>
      </c>
      <c r="P2206" s="1" t="s">
        <v>2849</v>
      </c>
      <c r="Q2206" s="3">
        <v>1</v>
      </c>
      <c r="S2206" s="23" t="s">
        <v>5949</v>
      </c>
      <c r="T2206" s="23" t="s">
        <v>4931</v>
      </c>
      <c r="U2206" s="3">
        <v>34</v>
      </c>
      <c r="W2206" s="45" t="str">
        <f>HYPERLINK("http://ictvonline.org/taxonomy/p/taxonomy-history?taxnode_id=201850367","ICTVonline=201850367")</f>
        <v>ICTVonline=201850367</v>
      </c>
      <c r="AA2206" s="1">
        <v>201850000</v>
      </c>
      <c r="AB2206" s="1">
        <v>34</v>
      </c>
    </row>
    <row r="2207" spans="1:28" x14ac:dyDescent="0.15">
      <c r="A2207" s="1">
        <v>5606</v>
      </c>
      <c r="J2207" s="1" t="s">
        <v>1332</v>
      </c>
      <c r="L2207" s="1" t="s">
        <v>6146</v>
      </c>
      <c r="M2207" s="1" t="s">
        <v>6147</v>
      </c>
      <c r="N2207" s="1" t="s">
        <v>2848</v>
      </c>
      <c r="P2207" s="1" t="s">
        <v>2850</v>
      </c>
      <c r="Q2207" s="3">
        <v>0</v>
      </c>
      <c r="S2207" s="23" t="s">
        <v>5949</v>
      </c>
      <c r="T2207" s="23" t="s">
        <v>4931</v>
      </c>
      <c r="U2207" s="3">
        <v>34</v>
      </c>
      <c r="W2207" s="45" t="str">
        <f>HYPERLINK("http://ictvonline.org/taxonomy/p/taxonomy-history?taxnode_id=201850368","ICTVonline=201850368")</f>
        <v>ICTVonline=201850368</v>
      </c>
      <c r="AA2207" s="1">
        <v>201850000</v>
      </c>
      <c r="AB2207" s="1">
        <v>34</v>
      </c>
    </row>
    <row r="2208" spans="1:28" x14ac:dyDescent="0.15">
      <c r="A2208" s="1">
        <v>5608</v>
      </c>
      <c r="J2208" s="1" t="s">
        <v>1332</v>
      </c>
      <c r="L2208" s="1" t="s">
        <v>6146</v>
      </c>
      <c r="M2208" s="1" t="s">
        <v>6147</v>
      </c>
      <c r="N2208" s="1" t="s">
        <v>2848</v>
      </c>
      <c r="P2208" s="1" t="s">
        <v>2851</v>
      </c>
      <c r="Q2208" s="3">
        <v>0</v>
      </c>
      <c r="S2208" s="23" t="s">
        <v>5949</v>
      </c>
      <c r="T2208" s="23" t="s">
        <v>4931</v>
      </c>
      <c r="U2208" s="3">
        <v>34</v>
      </c>
      <c r="W2208" s="45" t="str">
        <f>HYPERLINK("http://ictvonline.org/taxonomy/p/taxonomy-history?taxnode_id=201850369","ICTVonline=201850369")</f>
        <v>ICTVonline=201850369</v>
      </c>
      <c r="AA2208" s="1">
        <v>201850000</v>
      </c>
      <c r="AB2208" s="1">
        <v>34</v>
      </c>
    </row>
    <row r="2209" spans="1:28" x14ac:dyDescent="0.15">
      <c r="A2209" s="1">
        <v>5612</v>
      </c>
      <c r="J2209" s="1" t="s">
        <v>1332</v>
      </c>
      <c r="L2209" s="1" t="s">
        <v>6146</v>
      </c>
      <c r="M2209" s="1" t="s">
        <v>6147</v>
      </c>
      <c r="N2209" s="1" t="s">
        <v>2861</v>
      </c>
      <c r="P2209" s="1" t="s">
        <v>2862</v>
      </c>
      <c r="Q2209" s="3">
        <v>1</v>
      </c>
      <c r="S2209" s="23" t="s">
        <v>5949</v>
      </c>
      <c r="T2209" s="23" t="s">
        <v>4931</v>
      </c>
      <c r="U2209" s="3">
        <v>34</v>
      </c>
      <c r="W2209" s="45" t="str">
        <f>HYPERLINK("http://ictvonline.org/taxonomy/p/taxonomy-history?taxnode_id=201850392","ICTVonline=201850392")</f>
        <v>ICTVonline=201850392</v>
      </c>
      <c r="AA2209" s="1">
        <v>201850000</v>
      </c>
      <c r="AB2209" s="1">
        <v>34</v>
      </c>
    </row>
    <row r="2210" spans="1:28" x14ac:dyDescent="0.15">
      <c r="A2210" s="1">
        <v>5614</v>
      </c>
      <c r="J2210" s="1" t="s">
        <v>1332</v>
      </c>
      <c r="L2210" s="1" t="s">
        <v>6146</v>
      </c>
      <c r="M2210" s="1" t="s">
        <v>6147</v>
      </c>
      <c r="N2210" s="1" t="s">
        <v>2861</v>
      </c>
      <c r="P2210" s="1" t="s">
        <v>2863</v>
      </c>
      <c r="Q2210" s="3">
        <v>0</v>
      </c>
      <c r="S2210" s="23" t="s">
        <v>5949</v>
      </c>
      <c r="T2210" s="23" t="s">
        <v>4931</v>
      </c>
      <c r="U2210" s="3">
        <v>34</v>
      </c>
      <c r="W2210" s="45" t="str">
        <f>HYPERLINK("http://ictvonline.org/taxonomy/p/taxonomy-history?taxnode_id=201850393","ICTVonline=201850393")</f>
        <v>ICTVonline=201850393</v>
      </c>
      <c r="AA2210" s="1">
        <v>201850000</v>
      </c>
      <c r="AB2210" s="1">
        <v>34</v>
      </c>
    </row>
    <row r="2211" spans="1:28" x14ac:dyDescent="0.15">
      <c r="A2211" s="1">
        <v>5616</v>
      </c>
      <c r="J2211" s="1" t="s">
        <v>1332</v>
      </c>
      <c r="L2211" s="1" t="s">
        <v>6146</v>
      </c>
      <c r="M2211" s="1" t="s">
        <v>6147</v>
      </c>
      <c r="N2211" s="1" t="s">
        <v>2861</v>
      </c>
      <c r="P2211" s="1" t="s">
        <v>6148</v>
      </c>
      <c r="Q2211" s="3">
        <v>0</v>
      </c>
      <c r="S2211" s="23" t="s">
        <v>5949</v>
      </c>
      <c r="T2211" s="23" t="s">
        <v>4929</v>
      </c>
      <c r="U2211" s="3">
        <v>34</v>
      </c>
      <c r="V2211" s="3" t="s">
        <v>6149</v>
      </c>
      <c r="W2211" s="45" t="str">
        <f>HYPERLINK("http://ictvonline.org/taxonomy/p/taxonomy-history?taxnode_id=201856960","ICTVonline=201856960")</f>
        <v>ICTVonline=201856960</v>
      </c>
      <c r="AA2211" s="1">
        <v>201850000</v>
      </c>
      <c r="AB2211" s="1">
        <v>34</v>
      </c>
    </row>
    <row r="2212" spans="1:28" x14ac:dyDescent="0.15">
      <c r="A2212" s="1">
        <v>5618</v>
      </c>
      <c r="J2212" s="1" t="s">
        <v>1332</v>
      </c>
      <c r="L2212" s="1" t="s">
        <v>6146</v>
      </c>
      <c r="M2212" s="1" t="s">
        <v>6147</v>
      </c>
      <c r="N2212" s="1" t="s">
        <v>2861</v>
      </c>
      <c r="P2212" s="1" t="s">
        <v>6150</v>
      </c>
      <c r="Q2212" s="3">
        <v>0</v>
      </c>
      <c r="S2212" s="23" t="s">
        <v>5949</v>
      </c>
      <c r="T2212" s="23" t="s">
        <v>4929</v>
      </c>
      <c r="U2212" s="3">
        <v>34</v>
      </c>
      <c r="V2212" s="3" t="s">
        <v>6149</v>
      </c>
      <c r="W2212" s="45" t="str">
        <f>HYPERLINK("http://ictvonline.org/taxonomy/p/taxonomy-history?taxnode_id=201856961","ICTVonline=201856961")</f>
        <v>ICTVonline=201856961</v>
      </c>
      <c r="AA2212" s="1">
        <v>201850000</v>
      </c>
      <c r="AB2212" s="1">
        <v>34</v>
      </c>
    </row>
    <row r="2213" spans="1:28" x14ac:dyDescent="0.15">
      <c r="A2213" s="1">
        <v>5622</v>
      </c>
      <c r="J2213" s="1" t="s">
        <v>1332</v>
      </c>
      <c r="L2213" s="1" t="s">
        <v>6146</v>
      </c>
      <c r="M2213" s="1" t="s">
        <v>6147</v>
      </c>
      <c r="N2213" s="1" t="s">
        <v>6151</v>
      </c>
      <c r="P2213" s="1" t="s">
        <v>2864</v>
      </c>
      <c r="Q2213" s="3">
        <v>1</v>
      </c>
      <c r="S2213" s="23" t="s">
        <v>5949</v>
      </c>
      <c r="T2213" s="23" t="s">
        <v>4931</v>
      </c>
      <c r="U2213" s="3">
        <v>34</v>
      </c>
      <c r="W2213" s="45" t="str">
        <f>HYPERLINK("http://ictvonline.org/taxonomy/p/taxonomy-history?taxnode_id=201850395","ICTVonline=201850395")</f>
        <v>ICTVonline=201850395</v>
      </c>
      <c r="AA2213" s="1">
        <v>201850000</v>
      </c>
      <c r="AB2213" s="1">
        <v>34</v>
      </c>
    </row>
    <row r="2214" spans="1:28" x14ac:dyDescent="0.15">
      <c r="A2214" s="1">
        <v>5624</v>
      </c>
      <c r="J2214" s="1" t="s">
        <v>1332</v>
      </c>
      <c r="L2214" s="1" t="s">
        <v>6146</v>
      </c>
      <c r="M2214" s="1" t="s">
        <v>6147</v>
      </c>
      <c r="N2214" s="1" t="s">
        <v>6151</v>
      </c>
      <c r="P2214" s="1" t="s">
        <v>2865</v>
      </c>
      <c r="Q2214" s="3">
        <v>0</v>
      </c>
      <c r="S2214" s="23" t="s">
        <v>5949</v>
      </c>
      <c r="T2214" s="23" t="s">
        <v>4931</v>
      </c>
      <c r="U2214" s="3">
        <v>34</v>
      </c>
      <c r="W2214" s="45" t="str">
        <f>HYPERLINK("http://ictvonline.org/taxonomy/p/taxonomy-history?taxnode_id=201850396","ICTVonline=201850396")</f>
        <v>ICTVonline=201850396</v>
      </c>
      <c r="AA2214" s="1">
        <v>201850000</v>
      </c>
      <c r="AB2214" s="1">
        <v>34</v>
      </c>
    </row>
    <row r="2215" spans="1:28" x14ac:dyDescent="0.15">
      <c r="A2215" s="1">
        <v>5626</v>
      </c>
      <c r="J2215" s="1" t="s">
        <v>1332</v>
      </c>
      <c r="L2215" s="1" t="s">
        <v>6146</v>
      </c>
      <c r="M2215" s="1" t="s">
        <v>6147</v>
      </c>
      <c r="N2215" s="1" t="s">
        <v>6151</v>
      </c>
      <c r="P2215" s="1" t="s">
        <v>2866</v>
      </c>
      <c r="Q2215" s="3">
        <v>0</v>
      </c>
      <c r="S2215" s="23" t="s">
        <v>5949</v>
      </c>
      <c r="T2215" s="23" t="s">
        <v>4931</v>
      </c>
      <c r="U2215" s="3">
        <v>34</v>
      </c>
      <c r="W2215" s="45" t="str">
        <f>HYPERLINK("http://ictvonline.org/taxonomy/p/taxonomy-history?taxnode_id=201850397","ICTVonline=201850397")</f>
        <v>ICTVonline=201850397</v>
      </c>
      <c r="AA2215" s="1">
        <v>201850000</v>
      </c>
      <c r="AB2215" s="1">
        <v>34</v>
      </c>
    </row>
    <row r="2216" spans="1:28" x14ac:dyDescent="0.15">
      <c r="A2216" s="1">
        <v>5628</v>
      </c>
      <c r="J2216" s="1" t="s">
        <v>1332</v>
      </c>
      <c r="L2216" s="1" t="s">
        <v>6146</v>
      </c>
      <c r="M2216" s="1" t="s">
        <v>6147</v>
      </c>
      <c r="N2216" s="1" t="s">
        <v>6151</v>
      </c>
      <c r="P2216" s="1" t="s">
        <v>4230</v>
      </c>
      <c r="Q2216" s="3">
        <v>0</v>
      </c>
      <c r="S2216" s="23" t="s">
        <v>5949</v>
      </c>
      <c r="T2216" s="23" t="s">
        <v>4931</v>
      </c>
      <c r="U2216" s="3">
        <v>34</v>
      </c>
      <c r="W2216" s="45" t="str">
        <f>HYPERLINK("http://ictvonline.org/taxonomy/p/taxonomy-history?taxnode_id=201850398","ICTVonline=201850398")</f>
        <v>ICTVonline=201850398</v>
      </c>
      <c r="AA2216" s="1">
        <v>201850000</v>
      </c>
      <c r="AB2216" s="1">
        <v>34</v>
      </c>
    </row>
    <row r="2217" spans="1:28" x14ac:dyDescent="0.15">
      <c r="A2217" s="1">
        <v>5630</v>
      </c>
      <c r="J2217" s="1" t="s">
        <v>1332</v>
      </c>
      <c r="L2217" s="1" t="s">
        <v>6146</v>
      </c>
      <c r="M2217" s="1" t="s">
        <v>6147</v>
      </c>
      <c r="N2217" s="1" t="s">
        <v>6151</v>
      </c>
      <c r="P2217" s="1" t="s">
        <v>4231</v>
      </c>
      <c r="Q2217" s="3">
        <v>0</v>
      </c>
      <c r="S2217" s="23" t="s">
        <v>5949</v>
      </c>
      <c r="T2217" s="23" t="s">
        <v>4931</v>
      </c>
      <c r="U2217" s="3">
        <v>34</v>
      </c>
      <c r="W2217" s="45" t="str">
        <f>HYPERLINK("http://ictvonline.org/taxonomy/p/taxonomy-history?taxnode_id=201850399","ICTVonline=201850399")</f>
        <v>ICTVonline=201850399</v>
      </c>
      <c r="AA2217" s="1">
        <v>201850000</v>
      </c>
      <c r="AB2217" s="1">
        <v>34</v>
      </c>
    </row>
    <row r="2218" spans="1:28" x14ac:dyDescent="0.15">
      <c r="A2218" s="1">
        <v>5632</v>
      </c>
      <c r="J2218" s="1" t="s">
        <v>1332</v>
      </c>
      <c r="L2218" s="1" t="s">
        <v>6146</v>
      </c>
      <c r="M2218" s="1" t="s">
        <v>6147</v>
      </c>
      <c r="N2218" s="1" t="s">
        <v>6151</v>
      </c>
      <c r="P2218" s="1" t="s">
        <v>2867</v>
      </c>
      <c r="Q2218" s="3">
        <v>0</v>
      </c>
      <c r="S2218" s="23" t="s">
        <v>5949</v>
      </c>
      <c r="T2218" s="23" t="s">
        <v>4931</v>
      </c>
      <c r="U2218" s="3">
        <v>34</v>
      </c>
      <c r="W2218" s="45" t="str">
        <f>HYPERLINK("http://ictvonline.org/taxonomy/p/taxonomy-history?taxnode_id=201850400","ICTVonline=201850400")</f>
        <v>ICTVonline=201850400</v>
      </c>
      <c r="AA2218" s="1">
        <v>201850000</v>
      </c>
      <c r="AB2218" s="1">
        <v>34</v>
      </c>
    </row>
    <row r="2219" spans="1:28" x14ac:dyDescent="0.15">
      <c r="A2219" s="1">
        <v>5636</v>
      </c>
      <c r="J2219" s="1" t="s">
        <v>1332</v>
      </c>
      <c r="L2219" s="1" t="s">
        <v>6146</v>
      </c>
      <c r="M2219" s="1" t="s">
        <v>6147</v>
      </c>
      <c r="N2219" s="1" t="s">
        <v>4201</v>
      </c>
      <c r="P2219" s="1" t="s">
        <v>4202</v>
      </c>
      <c r="Q2219" s="3">
        <v>0</v>
      </c>
      <c r="S2219" s="23" t="s">
        <v>5949</v>
      </c>
      <c r="T2219" s="23" t="s">
        <v>4931</v>
      </c>
      <c r="U2219" s="3">
        <v>34</v>
      </c>
      <c r="W2219" s="45" t="str">
        <f>HYPERLINK("http://ictvonline.org/taxonomy/p/taxonomy-history?taxnode_id=201850270","ICTVonline=201850270")</f>
        <v>ICTVonline=201850270</v>
      </c>
      <c r="AA2219" s="1">
        <v>201850000</v>
      </c>
      <c r="AB2219" s="1">
        <v>34</v>
      </c>
    </row>
    <row r="2220" spans="1:28" x14ac:dyDescent="0.15">
      <c r="A2220" s="1">
        <v>5638</v>
      </c>
      <c r="J2220" s="1" t="s">
        <v>1332</v>
      </c>
      <c r="L2220" s="1" t="s">
        <v>6146</v>
      </c>
      <c r="M2220" s="1" t="s">
        <v>6147</v>
      </c>
      <c r="N2220" s="1" t="s">
        <v>4201</v>
      </c>
      <c r="P2220" s="1" t="s">
        <v>4203</v>
      </c>
      <c r="Q2220" s="3">
        <v>1</v>
      </c>
      <c r="S2220" s="23" t="s">
        <v>5949</v>
      </c>
      <c r="T2220" s="23" t="s">
        <v>4931</v>
      </c>
      <c r="U2220" s="3">
        <v>34</v>
      </c>
      <c r="W2220" s="45" t="str">
        <f>HYPERLINK("http://ictvonline.org/taxonomy/p/taxonomy-history?taxnode_id=201850271","ICTVonline=201850271")</f>
        <v>ICTVonline=201850271</v>
      </c>
      <c r="AA2220" s="1">
        <v>201850000</v>
      </c>
      <c r="AB2220" s="1">
        <v>34</v>
      </c>
    </row>
    <row r="2221" spans="1:28" x14ac:dyDescent="0.15">
      <c r="A2221" s="1">
        <v>5642</v>
      </c>
      <c r="J2221" s="1" t="s">
        <v>1332</v>
      </c>
      <c r="L2221" s="1" t="s">
        <v>6146</v>
      </c>
      <c r="M2221" s="1" t="s">
        <v>6147</v>
      </c>
      <c r="N2221" s="1" t="s">
        <v>2964</v>
      </c>
      <c r="P2221" s="1" t="s">
        <v>4259</v>
      </c>
      <c r="Q2221" s="3">
        <v>0</v>
      </c>
      <c r="S2221" s="23" t="s">
        <v>5949</v>
      </c>
      <c r="T2221" s="23" t="s">
        <v>4931</v>
      </c>
      <c r="U2221" s="3">
        <v>34</v>
      </c>
      <c r="W2221" s="45" t="str">
        <f>HYPERLINK("http://ictvonline.org/taxonomy/p/taxonomy-history?taxnode_id=201850536","ICTVonline=201850536")</f>
        <v>ICTVonline=201850536</v>
      </c>
      <c r="AA2221" s="1">
        <v>201850000</v>
      </c>
      <c r="AB2221" s="1">
        <v>34</v>
      </c>
    </row>
    <row r="2222" spans="1:28" x14ac:dyDescent="0.15">
      <c r="A2222" s="1">
        <v>5644</v>
      </c>
      <c r="J2222" s="1" t="s">
        <v>1332</v>
      </c>
      <c r="L2222" s="1" t="s">
        <v>6146</v>
      </c>
      <c r="M2222" s="1" t="s">
        <v>6147</v>
      </c>
      <c r="N2222" s="1" t="s">
        <v>2964</v>
      </c>
      <c r="P2222" s="1" t="s">
        <v>6152</v>
      </c>
      <c r="Q2222" s="3">
        <v>0</v>
      </c>
      <c r="S2222" s="23" t="s">
        <v>5949</v>
      </c>
      <c r="T2222" s="23" t="s">
        <v>4929</v>
      </c>
      <c r="U2222" s="3">
        <v>34</v>
      </c>
      <c r="V2222" s="3" t="s">
        <v>6149</v>
      </c>
      <c r="W2222" s="45" t="str">
        <f>HYPERLINK("http://ictvonline.org/taxonomy/p/taxonomy-history?taxnode_id=201856962","ICTVonline=201856962")</f>
        <v>ICTVonline=201856962</v>
      </c>
      <c r="AA2222" s="1">
        <v>201850000</v>
      </c>
      <c r="AB2222" s="1">
        <v>34</v>
      </c>
    </row>
    <row r="2223" spans="1:28" x14ac:dyDescent="0.15">
      <c r="A2223" s="1">
        <v>5646</v>
      </c>
      <c r="J2223" s="1" t="s">
        <v>1332</v>
      </c>
      <c r="L2223" s="1" t="s">
        <v>6146</v>
      </c>
      <c r="M2223" s="1" t="s">
        <v>6147</v>
      </c>
      <c r="N2223" s="1" t="s">
        <v>2964</v>
      </c>
      <c r="P2223" s="1" t="s">
        <v>4260</v>
      </c>
      <c r="Q2223" s="3">
        <v>0</v>
      </c>
      <c r="S2223" s="23" t="s">
        <v>5949</v>
      </c>
      <c r="T2223" s="23" t="s">
        <v>4931</v>
      </c>
      <c r="U2223" s="3">
        <v>34</v>
      </c>
      <c r="W2223" s="45" t="str">
        <f>HYPERLINK("http://ictvonline.org/taxonomy/p/taxonomy-history?taxnode_id=201850537","ICTVonline=201850537")</f>
        <v>ICTVonline=201850537</v>
      </c>
      <c r="AA2223" s="1">
        <v>201850000</v>
      </c>
      <c r="AB2223" s="1">
        <v>34</v>
      </c>
    </row>
    <row r="2224" spans="1:28" x14ac:dyDescent="0.15">
      <c r="A2224" s="1">
        <v>5648</v>
      </c>
      <c r="J2224" s="1" t="s">
        <v>1332</v>
      </c>
      <c r="L2224" s="1" t="s">
        <v>6146</v>
      </c>
      <c r="M2224" s="1" t="s">
        <v>6147</v>
      </c>
      <c r="N2224" s="1" t="s">
        <v>2964</v>
      </c>
      <c r="P2224" s="1" t="s">
        <v>4261</v>
      </c>
      <c r="Q2224" s="3">
        <v>0</v>
      </c>
      <c r="S2224" s="23" t="s">
        <v>5949</v>
      </c>
      <c r="T2224" s="23" t="s">
        <v>4931</v>
      </c>
      <c r="U2224" s="3">
        <v>34</v>
      </c>
      <c r="W2224" s="45" t="str">
        <f>HYPERLINK("http://ictvonline.org/taxonomy/p/taxonomy-history?taxnode_id=201850538","ICTVonline=201850538")</f>
        <v>ICTVonline=201850538</v>
      </c>
      <c r="AA2224" s="1">
        <v>201850000</v>
      </c>
      <c r="AB2224" s="1">
        <v>34</v>
      </c>
    </row>
    <row r="2225" spans="1:28" x14ac:dyDescent="0.15">
      <c r="A2225" s="1">
        <v>5650</v>
      </c>
      <c r="J2225" s="1" t="s">
        <v>1332</v>
      </c>
      <c r="L2225" s="1" t="s">
        <v>6146</v>
      </c>
      <c r="M2225" s="1" t="s">
        <v>6147</v>
      </c>
      <c r="N2225" s="1" t="s">
        <v>2964</v>
      </c>
      <c r="P2225" s="1" t="s">
        <v>2965</v>
      </c>
      <c r="Q2225" s="3">
        <v>1</v>
      </c>
      <c r="S2225" s="23" t="s">
        <v>5949</v>
      </c>
      <c r="T2225" s="23" t="s">
        <v>4931</v>
      </c>
      <c r="U2225" s="3">
        <v>34</v>
      </c>
      <c r="W2225" s="45" t="str">
        <f>HYPERLINK("http://ictvonline.org/taxonomy/p/taxonomy-history?taxnode_id=201850539","ICTVonline=201850539")</f>
        <v>ICTVonline=201850539</v>
      </c>
      <c r="AA2225" s="1">
        <v>201850000</v>
      </c>
      <c r="AB2225" s="1">
        <v>34</v>
      </c>
    </row>
    <row r="2226" spans="1:28" x14ac:dyDescent="0.15">
      <c r="A2226" s="1">
        <v>5653</v>
      </c>
      <c r="J2226" s="1" t="s">
        <v>1332</v>
      </c>
      <c r="L2226" s="1" t="s">
        <v>6146</v>
      </c>
      <c r="M2226" s="1" t="s">
        <v>6147</v>
      </c>
      <c r="P2226" s="1" t="s">
        <v>6153</v>
      </c>
      <c r="Q2226" s="3">
        <v>0</v>
      </c>
      <c r="S2226" s="23" t="s">
        <v>5949</v>
      </c>
      <c r="T2226" s="23" t="s">
        <v>4929</v>
      </c>
      <c r="U2226" s="3">
        <v>34</v>
      </c>
      <c r="V2226" s="3" t="s">
        <v>6149</v>
      </c>
      <c r="W2226" s="45" t="str">
        <f>HYPERLINK("http://ictvonline.org/taxonomy/p/taxonomy-history?taxnode_id=201856963","ICTVonline=201856963")</f>
        <v>ICTVonline=201856963</v>
      </c>
      <c r="AA2226" s="1">
        <v>201850000</v>
      </c>
      <c r="AB2226" s="1">
        <v>34</v>
      </c>
    </row>
    <row r="2227" spans="1:28" x14ac:dyDescent="0.15">
      <c r="A2227" s="1">
        <v>5655</v>
      </c>
      <c r="J2227" s="1" t="s">
        <v>1332</v>
      </c>
      <c r="L2227" s="1" t="s">
        <v>6146</v>
      </c>
      <c r="M2227" s="1" t="s">
        <v>6147</v>
      </c>
      <c r="P2227" s="1" t="s">
        <v>6154</v>
      </c>
      <c r="Q2227" s="3">
        <v>0</v>
      </c>
      <c r="S2227" s="23" t="s">
        <v>5949</v>
      </c>
      <c r="T2227" s="23" t="s">
        <v>4929</v>
      </c>
      <c r="U2227" s="3">
        <v>34</v>
      </c>
      <c r="V2227" s="3" t="s">
        <v>6149</v>
      </c>
      <c r="W2227" s="45" t="str">
        <f>HYPERLINK("http://ictvonline.org/taxonomy/p/taxonomy-history?taxnode_id=201856964","ICTVonline=201856964")</f>
        <v>ICTVonline=201856964</v>
      </c>
      <c r="AA2227" s="1">
        <v>201850000</v>
      </c>
      <c r="AB2227" s="1">
        <v>34</v>
      </c>
    </row>
    <row r="2228" spans="1:28" x14ac:dyDescent="0.15">
      <c r="A2228" s="1">
        <v>5657</v>
      </c>
      <c r="J2228" s="1" t="s">
        <v>1332</v>
      </c>
      <c r="L2228" s="1" t="s">
        <v>6146</v>
      </c>
      <c r="M2228" s="1" t="s">
        <v>6147</v>
      </c>
      <c r="P2228" s="1" t="s">
        <v>6155</v>
      </c>
      <c r="Q2228" s="3">
        <v>0</v>
      </c>
      <c r="S2228" s="23" t="s">
        <v>5949</v>
      </c>
      <c r="T2228" s="23" t="s">
        <v>4929</v>
      </c>
      <c r="U2228" s="3">
        <v>34</v>
      </c>
      <c r="V2228" s="3" t="s">
        <v>6149</v>
      </c>
      <c r="W2228" s="45" t="str">
        <f>HYPERLINK("http://ictvonline.org/taxonomy/p/taxonomy-history?taxnode_id=201856965","ICTVonline=201856965")</f>
        <v>ICTVonline=201856965</v>
      </c>
      <c r="AA2228" s="1">
        <v>201850000</v>
      </c>
      <c r="AB2228" s="1">
        <v>34</v>
      </c>
    </row>
    <row r="2229" spans="1:28" x14ac:dyDescent="0.15">
      <c r="A2229" s="1">
        <v>5662</v>
      </c>
      <c r="J2229" s="1" t="s">
        <v>1332</v>
      </c>
      <c r="L2229" s="1" t="s">
        <v>6146</v>
      </c>
      <c r="M2229" s="1" t="s">
        <v>6156</v>
      </c>
      <c r="N2229" s="1" t="s">
        <v>6157</v>
      </c>
      <c r="P2229" s="1" t="s">
        <v>6158</v>
      </c>
      <c r="Q2229" s="3">
        <v>0</v>
      </c>
      <c r="S2229" s="23" t="s">
        <v>5949</v>
      </c>
      <c r="T2229" s="23" t="s">
        <v>4929</v>
      </c>
      <c r="U2229" s="3">
        <v>34</v>
      </c>
      <c r="V2229" s="3" t="s">
        <v>6149</v>
      </c>
      <c r="W2229" s="45" t="str">
        <f>HYPERLINK("http://ictvonline.org/taxonomy/p/taxonomy-history?taxnode_id=201856968","ICTVonline=201856968")</f>
        <v>ICTVonline=201856968</v>
      </c>
      <c r="AA2229" s="1">
        <v>201850000</v>
      </c>
      <c r="AB2229" s="1">
        <v>34</v>
      </c>
    </row>
    <row r="2230" spans="1:28" x14ac:dyDescent="0.15">
      <c r="A2230" s="1">
        <v>5664</v>
      </c>
      <c r="J2230" s="1" t="s">
        <v>1332</v>
      </c>
      <c r="L2230" s="1" t="s">
        <v>6146</v>
      </c>
      <c r="M2230" s="1" t="s">
        <v>6156</v>
      </c>
      <c r="N2230" s="1" t="s">
        <v>6157</v>
      </c>
      <c r="P2230" s="1" t="s">
        <v>6159</v>
      </c>
      <c r="Q2230" s="3">
        <v>1</v>
      </c>
      <c r="S2230" s="23" t="s">
        <v>5949</v>
      </c>
      <c r="T2230" s="23" t="s">
        <v>6160</v>
      </c>
      <c r="U2230" s="3">
        <v>34</v>
      </c>
      <c r="V2230" s="3" t="s">
        <v>6149</v>
      </c>
      <c r="W2230" s="45" t="str">
        <f>HYPERLINK("http://ictvonline.org/taxonomy/p/taxonomy-history?taxnode_id=201850275","ICTVonline=201850275")</f>
        <v>ICTVonline=201850275</v>
      </c>
      <c r="AA2230" s="1">
        <v>201850000</v>
      </c>
      <c r="AB2230" s="1">
        <v>34</v>
      </c>
    </row>
    <row r="2231" spans="1:28" x14ac:dyDescent="0.15">
      <c r="A2231" s="1">
        <v>5666</v>
      </c>
      <c r="J2231" s="1" t="s">
        <v>1332</v>
      </c>
      <c r="L2231" s="1" t="s">
        <v>6146</v>
      </c>
      <c r="M2231" s="1" t="s">
        <v>6156</v>
      </c>
      <c r="N2231" s="1" t="s">
        <v>6157</v>
      </c>
      <c r="P2231" s="1" t="s">
        <v>6161</v>
      </c>
      <c r="Q2231" s="3">
        <v>0</v>
      </c>
      <c r="S2231" s="23" t="s">
        <v>5949</v>
      </c>
      <c r="T2231" s="23" t="s">
        <v>4929</v>
      </c>
      <c r="U2231" s="3">
        <v>34</v>
      </c>
      <c r="V2231" s="3" t="s">
        <v>6149</v>
      </c>
      <c r="W2231" s="45" t="str">
        <f>HYPERLINK("http://ictvonline.org/taxonomy/p/taxonomy-history?taxnode_id=201856969","ICTVonline=201856969")</f>
        <v>ICTVonline=201856969</v>
      </c>
      <c r="AA2231" s="1">
        <v>201850000</v>
      </c>
      <c r="AB2231" s="1">
        <v>34</v>
      </c>
    </row>
    <row r="2232" spans="1:28" x14ac:dyDescent="0.15">
      <c r="A2232" s="1">
        <v>5669</v>
      </c>
      <c r="J2232" s="1" t="s">
        <v>1332</v>
      </c>
      <c r="L2232" s="1" t="s">
        <v>6146</v>
      </c>
      <c r="M2232" s="1" t="s">
        <v>6156</v>
      </c>
      <c r="P2232" s="1" t="s">
        <v>6162</v>
      </c>
      <c r="Q2232" s="3">
        <v>0</v>
      </c>
      <c r="S2232" s="23" t="s">
        <v>5949</v>
      </c>
      <c r="T2232" s="23" t="s">
        <v>4929</v>
      </c>
      <c r="U2232" s="3">
        <v>34</v>
      </c>
      <c r="V2232" s="3" t="s">
        <v>6149</v>
      </c>
      <c r="W2232" s="45" t="str">
        <f>HYPERLINK("http://ictvonline.org/taxonomy/p/taxonomy-history?taxnode_id=201856970","ICTVonline=201856970")</f>
        <v>ICTVonline=201856970</v>
      </c>
      <c r="AA2232" s="1">
        <v>201850000</v>
      </c>
      <c r="AB2232" s="1">
        <v>34</v>
      </c>
    </row>
    <row r="2233" spans="1:28" x14ac:dyDescent="0.15">
      <c r="A2233" s="1">
        <v>5674</v>
      </c>
      <c r="J2233" s="1" t="s">
        <v>1332</v>
      </c>
      <c r="L2233" s="1" t="s">
        <v>6146</v>
      </c>
      <c r="M2233" s="1" t="s">
        <v>6163</v>
      </c>
      <c r="N2233" s="1" t="s">
        <v>6164</v>
      </c>
      <c r="P2233" s="1" t="s">
        <v>2787</v>
      </c>
      <c r="Q2233" s="3">
        <v>0</v>
      </c>
      <c r="S2233" s="23" t="s">
        <v>5949</v>
      </c>
      <c r="T2233" s="23" t="s">
        <v>4931</v>
      </c>
      <c r="U2233" s="3">
        <v>34</v>
      </c>
      <c r="W2233" s="45" t="str">
        <f>HYPERLINK("http://ictvonline.org/taxonomy/p/taxonomy-history?taxnode_id=201850260","ICTVonline=201850260")</f>
        <v>ICTVonline=201850260</v>
      </c>
      <c r="AA2233" s="1">
        <v>201850000</v>
      </c>
      <c r="AB2233" s="1">
        <v>34</v>
      </c>
    </row>
    <row r="2234" spans="1:28" x14ac:dyDescent="0.15">
      <c r="A2234" s="1">
        <v>5676</v>
      </c>
      <c r="J2234" s="1" t="s">
        <v>1332</v>
      </c>
      <c r="L2234" s="1" t="s">
        <v>6146</v>
      </c>
      <c r="M2234" s="1" t="s">
        <v>6163</v>
      </c>
      <c r="N2234" s="1" t="s">
        <v>6164</v>
      </c>
      <c r="P2234" s="1" t="s">
        <v>6165</v>
      </c>
      <c r="Q2234" s="3">
        <v>0</v>
      </c>
      <c r="S2234" s="23" t="s">
        <v>5949</v>
      </c>
      <c r="T2234" s="23" t="s">
        <v>4929</v>
      </c>
      <c r="U2234" s="3">
        <v>34</v>
      </c>
      <c r="V2234" s="3" t="s">
        <v>6149</v>
      </c>
      <c r="W2234" s="45" t="str">
        <f>HYPERLINK("http://ictvonline.org/taxonomy/p/taxonomy-history?taxnode_id=201856979","ICTVonline=201856979")</f>
        <v>ICTVonline=201856979</v>
      </c>
      <c r="AA2234" s="1">
        <v>201850000</v>
      </c>
      <c r="AB2234" s="1">
        <v>34</v>
      </c>
    </row>
    <row r="2235" spans="1:28" x14ac:dyDescent="0.15">
      <c r="A2235" s="1">
        <v>5678</v>
      </c>
      <c r="J2235" s="1" t="s">
        <v>1332</v>
      </c>
      <c r="L2235" s="1" t="s">
        <v>6146</v>
      </c>
      <c r="M2235" s="1" t="s">
        <v>6163</v>
      </c>
      <c r="N2235" s="1" t="s">
        <v>6164</v>
      </c>
      <c r="P2235" s="1" t="s">
        <v>6166</v>
      </c>
      <c r="Q2235" s="3">
        <v>0</v>
      </c>
      <c r="S2235" s="23" t="s">
        <v>5949</v>
      </c>
      <c r="T2235" s="23" t="s">
        <v>4929</v>
      </c>
      <c r="U2235" s="3">
        <v>34</v>
      </c>
      <c r="V2235" s="3" t="s">
        <v>6149</v>
      </c>
      <c r="W2235" s="45" t="str">
        <f>HYPERLINK("http://ictvonline.org/taxonomy/p/taxonomy-history?taxnode_id=201856972","ICTVonline=201856972")</f>
        <v>ICTVonline=201856972</v>
      </c>
      <c r="AA2235" s="1">
        <v>201850000</v>
      </c>
      <c r="AB2235" s="1">
        <v>34</v>
      </c>
    </row>
    <row r="2236" spans="1:28" x14ac:dyDescent="0.15">
      <c r="A2236" s="1">
        <v>5680</v>
      </c>
      <c r="J2236" s="1" t="s">
        <v>1332</v>
      </c>
      <c r="L2236" s="1" t="s">
        <v>6146</v>
      </c>
      <c r="M2236" s="1" t="s">
        <v>6163</v>
      </c>
      <c r="N2236" s="1" t="s">
        <v>6164</v>
      </c>
      <c r="P2236" s="1" t="s">
        <v>6167</v>
      </c>
      <c r="Q2236" s="3">
        <v>0</v>
      </c>
      <c r="S2236" s="23" t="s">
        <v>5949</v>
      </c>
      <c r="T2236" s="23" t="s">
        <v>4929</v>
      </c>
      <c r="U2236" s="3">
        <v>34</v>
      </c>
      <c r="V2236" s="3" t="s">
        <v>6149</v>
      </c>
      <c r="W2236" s="45" t="str">
        <f>HYPERLINK("http://ictvonline.org/taxonomy/p/taxonomy-history?taxnode_id=201856973","ICTVonline=201856973")</f>
        <v>ICTVonline=201856973</v>
      </c>
      <c r="AA2236" s="1">
        <v>201850000</v>
      </c>
      <c r="AB2236" s="1">
        <v>34</v>
      </c>
    </row>
    <row r="2237" spans="1:28" x14ac:dyDescent="0.15">
      <c r="A2237" s="1">
        <v>5682</v>
      </c>
      <c r="J2237" s="1" t="s">
        <v>1332</v>
      </c>
      <c r="L2237" s="1" t="s">
        <v>6146</v>
      </c>
      <c r="M2237" s="1" t="s">
        <v>6163</v>
      </c>
      <c r="N2237" s="1" t="s">
        <v>6164</v>
      </c>
      <c r="P2237" s="1" t="s">
        <v>6168</v>
      </c>
      <c r="Q2237" s="3">
        <v>0</v>
      </c>
      <c r="S2237" s="23" t="s">
        <v>5949</v>
      </c>
      <c r="T2237" s="23" t="s">
        <v>4929</v>
      </c>
      <c r="U2237" s="3">
        <v>34</v>
      </c>
      <c r="V2237" s="3" t="s">
        <v>6149</v>
      </c>
      <c r="W2237" s="45" t="str">
        <f>HYPERLINK("http://ictvonline.org/taxonomy/p/taxonomy-history?taxnode_id=201856975","ICTVonline=201856975")</f>
        <v>ICTVonline=201856975</v>
      </c>
      <c r="AA2237" s="1">
        <v>201850000</v>
      </c>
      <c r="AB2237" s="1">
        <v>34</v>
      </c>
    </row>
    <row r="2238" spans="1:28" x14ac:dyDescent="0.15">
      <c r="A2238" s="1">
        <v>5684</v>
      </c>
      <c r="J2238" s="1" t="s">
        <v>1332</v>
      </c>
      <c r="L2238" s="1" t="s">
        <v>6146</v>
      </c>
      <c r="M2238" s="1" t="s">
        <v>6163</v>
      </c>
      <c r="N2238" s="1" t="s">
        <v>6164</v>
      </c>
      <c r="P2238" s="1" t="s">
        <v>6169</v>
      </c>
      <c r="Q2238" s="3">
        <v>0</v>
      </c>
      <c r="S2238" s="23" t="s">
        <v>5949</v>
      </c>
      <c r="T2238" s="23" t="s">
        <v>4929</v>
      </c>
      <c r="U2238" s="3">
        <v>34</v>
      </c>
      <c r="V2238" s="3" t="s">
        <v>6149</v>
      </c>
      <c r="W2238" s="45" t="str">
        <f>HYPERLINK("http://ictvonline.org/taxonomy/p/taxonomy-history?taxnode_id=201856974","ICTVonline=201856974")</f>
        <v>ICTVonline=201856974</v>
      </c>
      <c r="AA2238" s="1">
        <v>201850000</v>
      </c>
      <c r="AB2238" s="1">
        <v>34</v>
      </c>
    </row>
    <row r="2239" spans="1:28" x14ac:dyDescent="0.15">
      <c r="A2239" s="1">
        <v>5686</v>
      </c>
      <c r="J2239" s="1" t="s">
        <v>1332</v>
      </c>
      <c r="L2239" s="1" t="s">
        <v>6146</v>
      </c>
      <c r="M2239" s="1" t="s">
        <v>6163</v>
      </c>
      <c r="N2239" s="1" t="s">
        <v>6164</v>
      </c>
      <c r="P2239" s="1" t="s">
        <v>6170</v>
      </c>
      <c r="Q2239" s="3">
        <v>0</v>
      </c>
      <c r="S2239" s="23" t="s">
        <v>5949</v>
      </c>
      <c r="T2239" s="23" t="s">
        <v>4929</v>
      </c>
      <c r="U2239" s="3">
        <v>34</v>
      </c>
      <c r="V2239" s="3" t="s">
        <v>6149</v>
      </c>
      <c r="W2239" s="45" t="str">
        <f>HYPERLINK("http://ictvonline.org/taxonomy/p/taxonomy-history?taxnode_id=201856976","ICTVonline=201856976")</f>
        <v>ICTVonline=201856976</v>
      </c>
      <c r="AA2239" s="1">
        <v>201850000</v>
      </c>
      <c r="AB2239" s="1">
        <v>34</v>
      </c>
    </row>
    <row r="2240" spans="1:28" x14ac:dyDescent="0.15">
      <c r="A2240" s="1">
        <v>5688</v>
      </c>
      <c r="J2240" s="1" t="s">
        <v>1332</v>
      </c>
      <c r="L2240" s="1" t="s">
        <v>6146</v>
      </c>
      <c r="M2240" s="1" t="s">
        <v>6163</v>
      </c>
      <c r="N2240" s="1" t="s">
        <v>6164</v>
      </c>
      <c r="P2240" s="1" t="s">
        <v>6171</v>
      </c>
      <c r="Q2240" s="3">
        <v>0</v>
      </c>
      <c r="S2240" s="23" t="s">
        <v>5949</v>
      </c>
      <c r="T2240" s="23" t="s">
        <v>4929</v>
      </c>
      <c r="U2240" s="3">
        <v>34</v>
      </c>
      <c r="V2240" s="3" t="s">
        <v>6149</v>
      </c>
      <c r="W2240" s="45" t="str">
        <f>HYPERLINK("http://ictvonline.org/taxonomy/p/taxonomy-history?taxnode_id=201856977","ICTVonline=201856977")</f>
        <v>ICTVonline=201856977</v>
      </c>
      <c r="AA2240" s="1">
        <v>201850000</v>
      </c>
      <c r="AB2240" s="1">
        <v>34</v>
      </c>
    </row>
    <row r="2241" spans="1:28" x14ac:dyDescent="0.15">
      <c r="A2241" s="1">
        <v>5690</v>
      </c>
      <c r="J2241" s="1" t="s">
        <v>1332</v>
      </c>
      <c r="L2241" s="1" t="s">
        <v>6146</v>
      </c>
      <c r="M2241" s="1" t="s">
        <v>6163</v>
      </c>
      <c r="N2241" s="1" t="s">
        <v>6164</v>
      </c>
      <c r="P2241" s="1" t="s">
        <v>6172</v>
      </c>
      <c r="Q2241" s="3">
        <v>0</v>
      </c>
      <c r="S2241" s="23" t="s">
        <v>5949</v>
      </c>
      <c r="T2241" s="23" t="s">
        <v>4929</v>
      </c>
      <c r="U2241" s="3">
        <v>34</v>
      </c>
      <c r="V2241" s="3" t="s">
        <v>6149</v>
      </c>
      <c r="W2241" s="45" t="str">
        <f>HYPERLINK("http://ictvonline.org/taxonomy/p/taxonomy-history?taxnode_id=201856978","ICTVonline=201856978")</f>
        <v>ICTVonline=201856978</v>
      </c>
      <c r="AA2241" s="1">
        <v>201850000</v>
      </c>
      <c r="AB2241" s="1">
        <v>34</v>
      </c>
    </row>
    <row r="2242" spans="1:28" x14ac:dyDescent="0.15">
      <c r="A2242" s="1">
        <v>5692</v>
      </c>
      <c r="J2242" s="1" t="s">
        <v>1332</v>
      </c>
      <c r="L2242" s="1" t="s">
        <v>6146</v>
      </c>
      <c r="M2242" s="1" t="s">
        <v>6163</v>
      </c>
      <c r="N2242" s="1" t="s">
        <v>6164</v>
      </c>
      <c r="P2242" s="1" t="s">
        <v>2788</v>
      </c>
      <c r="Q2242" s="3">
        <v>1</v>
      </c>
      <c r="S2242" s="23" t="s">
        <v>5949</v>
      </c>
      <c r="T2242" s="23" t="s">
        <v>4931</v>
      </c>
      <c r="U2242" s="3">
        <v>34</v>
      </c>
      <c r="W2242" s="45" t="str">
        <f>HYPERLINK("http://ictvonline.org/taxonomy/p/taxonomy-history?taxnode_id=201850261","ICTVonline=201850261")</f>
        <v>ICTVonline=201850261</v>
      </c>
      <c r="AA2242" s="1">
        <v>201850000</v>
      </c>
      <c r="AB2242" s="1">
        <v>34</v>
      </c>
    </row>
    <row r="2243" spans="1:28" x14ac:dyDescent="0.15">
      <c r="A2243" s="1">
        <v>5694</v>
      </c>
      <c r="J2243" s="1" t="s">
        <v>1332</v>
      </c>
      <c r="L2243" s="1" t="s">
        <v>6146</v>
      </c>
      <c r="M2243" s="1" t="s">
        <v>6163</v>
      </c>
      <c r="N2243" s="1" t="s">
        <v>6164</v>
      </c>
      <c r="P2243" s="1" t="s">
        <v>6173</v>
      </c>
      <c r="Q2243" s="3">
        <v>0</v>
      </c>
      <c r="S2243" s="23" t="s">
        <v>5949</v>
      </c>
      <c r="T2243" s="23" t="s">
        <v>4929</v>
      </c>
      <c r="U2243" s="3">
        <v>34</v>
      </c>
      <c r="V2243" s="3" t="s">
        <v>6149</v>
      </c>
      <c r="W2243" s="45" t="str">
        <f>HYPERLINK("http://ictvonline.org/taxonomy/p/taxonomy-history?taxnode_id=201856980","ICTVonline=201856980")</f>
        <v>ICTVonline=201856980</v>
      </c>
      <c r="AA2243" s="1">
        <v>201850000</v>
      </c>
      <c r="AB2243" s="1">
        <v>34</v>
      </c>
    </row>
    <row r="2244" spans="1:28" x14ac:dyDescent="0.15">
      <c r="A2244" s="1">
        <v>5700</v>
      </c>
      <c r="J2244" s="1" t="s">
        <v>1332</v>
      </c>
      <c r="L2244" s="1" t="s">
        <v>6146</v>
      </c>
      <c r="M2244" s="1" t="s">
        <v>1342</v>
      </c>
      <c r="N2244" s="1" t="s">
        <v>6174</v>
      </c>
      <c r="P2244" s="1" t="s">
        <v>4200</v>
      </c>
      <c r="Q2244" s="3">
        <v>0</v>
      </c>
      <c r="S2244" s="23" t="s">
        <v>5949</v>
      </c>
      <c r="T2244" s="23" t="s">
        <v>4931</v>
      </c>
      <c r="U2244" s="3">
        <v>34</v>
      </c>
      <c r="W2244" s="45" t="str">
        <f>HYPERLINK("http://ictvonline.org/taxonomy/p/taxonomy-history?taxnode_id=201850267","ICTVonline=201850267")</f>
        <v>ICTVonline=201850267</v>
      </c>
      <c r="AA2244" s="1">
        <v>201850000</v>
      </c>
      <c r="AB2244" s="1">
        <v>34</v>
      </c>
    </row>
    <row r="2245" spans="1:28" x14ac:dyDescent="0.15">
      <c r="A2245" s="1">
        <v>5702</v>
      </c>
      <c r="J2245" s="1" t="s">
        <v>1332</v>
      </c>
      <c r="L2245" s="1" t="s">
        <v>6146</v>
      </c>
      <c r="M2245" s="1" t="s">
        <v>1342</v>
      </c>
      <c r="N2245" s="1" t="s">
        <v>6174</v>
      </c>
      <c r="P2245" s="1" t="s">
        <v>2792</v>
      </c>
      <c r="Q2245" s="3">
        <v>1</v>
      </c>
      <c r="S2245" s="23" t="s">
        <v>5949</v>
      </c>
      <c r="T2245" s="23" t="s">
        <v>4931</v>
      </c>
      <c r="U2245" s="3">
        <v>34</v>
      </c>
      <c r="W2245" s="45" t="str">
        <f>HYPERLINK("http://ictvonline.org/taxonomy/p/taxonomy-history?taxnode_id=201850268","ICTVonline=201850268")</f>
        <v>ICTVonline=201850268</v>
      </c>
      <c r="AA2245" s="1">
        <v>201850000</v>
      </c>
      <c r="AB2245" s="1">
        <v>34</v>
      </c>
    </row>
    <row r="2246" spans="1:28" x14ac:dyDescent="0.15">
      <c r="A2246" s="1">
        <v>5708</v>
      </c>
      <c r="J2246" s="1" t="s">
        <v>1332</v>
      </c>
      <c r="L2246" s="1" t="s">
        <v>6146</v>
      </c>
      <c r="M2246" s="1" t="s">
        <v>6175</v>
      </c>
      <c r="N2246" s="1" t="s">
        <v>2778</v>
      </c>
      <c r="P2246" s="1" t="s">
        <v>2779</v>
      </c>
      <c r="Q2246" s="3">
        <v>0</v>
      </c>
      <c r="S2246" s="23" t="s">
        <v>5949</v>
      </c>
      <c r="T2246" s="23" t="s">
        <v>4931</v>
      </c>
      <c r="U2246" s="3">
        <v>34</v>
      </c>
      <c r="W2246" s="45" t="str">
        <f>HYPERLINK("http://ictvonline.org/taxonomy/p/taxonomy-history?taxnode_id=201850249","ICTVonline=201850249")</f>
        <v>ICTVonline=201850249</v>
      </c>
      <c r="AA2246" s="1">
        <v>201850000</v>
      </c>
      <c r="AB2246" s="1">
        <v>34</v>
      </c>
    </row>
    <row r="2247" spans="1:28" x14ac:dyDescent="0.15">
      <c r="A2247" s="1">
        <v>5710</v>
      </c>
      <c r="J2247" s="1" t="s">
        <v>1332</v>
      </c>
      <c r="L2247" s="1" t="s">
        <v>6146</v>
      </c>
      <c r="M2247" s="1" t="s">
        <v>6175</v>
      </c>
      <c r="N2247" s="1" t="s">
        <v>2778</v>
      </c>
      <c r="P2247" s="1" t="s">
        <v>2780</v>
      </c>
      <c r="Q2247" s="3">
        <v>0</v>
      </c>
      <c r="S2247" s="23" t="s">
        <v>5949</v>
      </c>
      <c r="T2247" s="23" t="s">
        <v>4931</v>
      </c>
      <c r="U2247" s="3">
        <v>34</v>
      </c>
      <c r="W2247" s="45" t="str">
        <f>HYPERLINK("http://ictvonline.org/taxonomy/p/taxonomy-history?taxnode_id=201850250","ICTVonline=201850250")</f>
        <v>ICTVonline=201850250</v>
      </c>
      <c r="AA2247" s="1">
        <v>201850000</v>
      </c>
      <c r="AB2247" s="1">
        <v>34</v>
      </c>
    </row>
    <row r="2248" spans="1:28" x14ac:dyDescent="0.15">
      <c r="A2248" s="1">
        <v>5712</v>
      </c>
      <c r="J2248" s="1" t="s">
        <v>1332</v>
      </c>
      <c r="L2248" s="1" t="s">
        <v>6146</v>
      </c>
      <c r="M2248" s="1" t="s">
        <v>6175</v>
      </c>
      <c r="N2248" s="1" t="s">
        <v>2778</v>
      </c>
      <c r="P2248" s="1" t="s">
        <v>2781</v>
      </c>
      <c r="Q2248" s="3">
        <v>0</v>
      </c>
      <c r="S2248" s="23" t="s">
        <v>5949</v>
      </c>
      <c r="T2248" s="23" t="s">
        <v>4931</v>
      </c>
      <c r="U2248" s="3">
        <v>34</v>
      </c>
      <c r="W2248" s="45" t="str">
        <f>HYPERLINK("http://ictvonline.org/taxonomy/p/taxonomy-history?taxnode_id=201850251","ICTVonline=201850251")</f>
        <v>ICTVonline=201850251</v>
      </c>
      <c r="AA2248" s="1">
        <v>201850000</v>
      </c>
      <c r="AB2248" s="1">
        <v>34</v>
      </c>
    </row>
    <row r="2249" spans="1:28" x14ac:dyDescent="0.15">
      <c r="A2249" s="1">
        <v>5714</v>
      </c>
      <c r="J2249" s="1" t="s">
        <v>1332</v>
      </c>
      <c r="L2249" s="1" t="s">
        <v>6146</v>
      </c>
      <c r="M2249" s="1" t="s">
        <v>6175</v>
      </c>
      <c r="N2249" s="1" t="s">
        <v>2778</v>
      </c>
      <c r="P2249" s="1" t="s">
        <v>2782</v>
      </c>
      <c r="Q2249" s="3">
        <v>1</v>
      </c>
      <c r="S2249" s="23" t="s">
        <v>5949</v>
      </c>
      <c r="T2249" s="23" t="s">
        <v>4931</v>
      </c>
      <c r="U2249" s="3">
        <v>34</v>
      </c>
      <c r="W2249" s="45" t="str">
        <f>HYPERLINK("http://ictvonline.org/taxonomy/p/taxonomy-history?taxnode_id=201850252","ICTVonline=201850252")</f>
        <v>ICTVonline=201850252</v>
      </c>
      <c r="AA2249" s="1">
        <v>201850000</v>
      </c>
      <c r="AB2249" s="1">
        <v>34</v>
      </c>
    </row>
    <row r="2250" spans="1:28" x14ac:dyDescent="0.15">
      <c r="A2250" s="1">
        <v>5716</v>
      </c>
      <c r="J2250" s="1" t="s">
        <v>1332</v>
      </c>
      <c r="L2250" s="1" t="s">
        <v>6146</v>
      </c>
      <c r="M2250" s="1" t="s">
        <v>6175</v>
      </c>
      <c r="N2250" s="1" t="s">
        <v>2778</v>
      </c>
      <c r="P2250" s="1" t="s">
        <v>2783</v>
      </c>
      <c r="Q2250" s="3">
        <v>0</v>
      </c>
      <c r="S2250" s="23" t="s">
        <v>5949</v>
      </c>
      <c r="T2250" s="23" t="s">
        <v>4931</v>
      </c>
      <c r="U2250" s="3">
        <v>34</v>
      </c>
      <c r="W2250" s="45" t="str">
        <f>HYPERLINK("http://ictvonline.org/taxonomy/p/taxonomy-history?taxnode_id=201850253","ICTVonline=201850253")</f>
        <v>ICTVonline=201850253</v>
      </c>
      <c r="AA2250" s="1">
        <v>201850000</v>
      </c>
      <c r="AB2250" s="1">
        <v>34</v>
      </c>
    </row>
    <row r="2251" spans="1:28" x14ac:dyDescent="0.15">
      <c r="A2251" s="1">
        <v>5718</v>
      </c>
      <c r="J2251" s="1" t="s">
        <v>1332</v>
      </c>
      <c r="L2251" s="1" t="s">
        <v>6146</v>
      </c>
      <c r="M2251" s="1" t="s">
        <v>6175</v>
      </c>
      <c r="N2251" s="1" t="s">
        <v>2778</v>
      </c>
      <c r="P2251" s="1" t="s">
        <v>2784</v>
      </c>
      <c r="Q2251" s="3">
        <v>0</v>
      </c>
      <c r="S2251" s="23" t="s">
        <v>5949</v>
      </c>
      <c r="T2251" s="23" t="s">
        <v>4931</v>
      </c>
      <c r="U2251" s="3">
        <v>34</v>
      </c>
      <c r="W2251" s="45" t="str">
        <f>HYPERLINK("http://ictvonline.org/taxonomy/p/taxonomy-history?taxnode_id=201850254","ICTVonline=201850254")</f>
        <v>ICTVonline=201850254</v>
      </c>
      <c r="AA2251" s="1">
        <v>201850000</v>
      </c>
      <c r="AB2251" s="1">
        <v>34</v>
      </c>
    </row>
    <row r="2252" spans="1:28" x14ac:dyDescent="0.15">
      <c r="A2252" s="1">
        <v>5720</v>
      </c>
      <c r="J2252" s="1" t="s">
        <v>1332</v>
      </c>
      <c r="L2252" s="1" t="s">
        <v>6146</v>
      </c>
      <c r="M2252" s="1" t="s">
        <v>6175</v>
      </c>
      <c r="N2252" s="1" t="s">
        <v>2778</v>
      </c>
      <c r="P2252" s="1" t="s">
        <v>4197</v>
      </c>
      <c r="Q2252" s="3">
        <v>0</v>
      </c>
      <c r="S2252" s="23" t="s">
        <v>5949</v>
      </c>
      <c r="T2252" s="23" t="s">
        <v>4931</v>
      </c>
      <c r="U2252" s="3">
        <v>34</v>
      </c>
      <c r="W2252" s="45" t="str">
        <f>HYPERLINK("http://ictvonline.org/taxonomy/p/taxonomy-history?taxnode_id=201850255","ICTVonline=201850255")</f>
        <v>ICTVonline=201850255</v>
      </c>
      <c r="AA2252" s="1">
        <v>201850000</v>
      </c>
      <c r="AB2252" s="1">
        <v>34</v>
      </c>
    </row>
    <row r="2253" spans="1:28" x14ac:dyDescent="0.15">
      <c r="A2253" s="1">
        <v>5722</v>
      </c>
      <c r="J2253" s="1" t="s">
        <v>1332</v>
      </c>
      <c r="L2253" s="1" t="s">
        <v>6146</v>
      </c>
      <c r="M2253" s="1" t="s">
        <v>6175</v>
      </c>
      <c r="N2253" s="1" t="s">
        <v>2778</v>
      </c>
      <c r="P2253" s="1" t="s">
        <v>2785</v>
      </c>
      <c r="Q2253" s="3">
        <v>0</v>
      </c>
      <c r="S2253" s="23" t="s">
        <v>5949</v>
      </c>
      <c r="T2253" s="23" t="s">
        <v>4931</v>
      </c>
      <c r="U2253" s="3">
        <v>34</v>
      </c>
      <c r="W2253" s="45" t="str">
        <f>HYPERLINK("http://ictvonline.org/taxonomy/p/taxonomy-history?taxnode_id=201850256","ICTVonline=201850256")</f>
        <v>ICTVonline=201850256</v>
      </c>
      <c r="AA2253" s="1">
        <v>201850000</v>
      </c>
      <c r="AB2253" s="1">
        <v>34</v>
      </c>
    </row>
    <row r="2254" spans="1:28" x14ac:dyDescent="0.15">
      <c r="A2254" s="1">
        <v>5724</v>
      </c>
      <c r="J2254" s="1" t="s">
        <v>1332</v>
      </c>
      <c r="L2254" s="1" t="s">
        <v>6146</v>
      </c>
      <c r="M2254" s="1" t="s">
        <v>6175</v>
      </c>
      <c r="N2254" s="1" t="s">
        <v>2778</v>
      </c>
      <c r="P2254" s="1" t="s">
        <v>4198</v>
      </c>
      <c r="Q2254" s="3">
        <v>0</v>
      </c>
      <c r="S2254" s="23" t="s">
        <v>5949</v>
      </c>
      <c r="T2254" s="23" t="s">
        <v>4931</v>
      </c>
      <c r="U2254" s="3">
        <v>34</v>
      </c>
      <c r="W2254" s="45" t="str">
        <f>HYPERLINK("http://ictvonline.org/taxonomy/p/taxonomy-history?taxnode_id=201850257","ICTVonline=201850257")</f>
        <v>ICTVonline=201850257</v>
      </c>
      <c r="AA2254" s="1">
        <v>201850000</v>
      </c>
      <c r="AB2254" s="1">
        <v>34</v>
      </c>
    </row>
    <row r="2255" spans="1:28" x14ac:dyDescent="0.15">
      <c r="A2255" s="1">
        <v>5726</v>
      </c>
      <c r="J2255" s="1" t="s">
        <v>1332</v>
      </c>
      <c r="L2255" s="1" t="s">
        <v>6146</v>
      </c>
      <c r="M2255" s="1" t="s">
        <v>6175</v>
      </c>
      <c r="N2255" s="1" t="s">
        <v>2778</v>
      </c>
      <c r="P2255" s="1" t="s">
        <v>2786</v>
      </c>
      <c r="Q2255" s="3">
        <v>0</v>
      </c>
      <c r="S2255" s="23" t="s">
        <v>5949</v>
      </c>
      <c r="T2255" s="23" t="s">
        <v>4931</v>
      </c>
      <c r="U2255" s="3">
        <v>34</v>
      </c>
      <c r="W2255" s="45" t="str">
        <f>HYPERLINK("http://ictvonline.org/taxonomy/p/taxonomy-history?taxnode_id=201850258","ICTVonline=201850258")</f>
        <v>ICTVonline=201850258</v>
      </c>
      <c r="AA2255" s="1">
        <v>201850000</v>
      </c>
      <c r="AB2255" s="1">
        <v>34</v>
      </c>
    </row>
    <row r="2256" spans="1:28" x14ac:dyDescent="0.15">
      <c r="A2256" s="1">
        <v>5728</v>
      </c>
      <c r="J2256" s="1" t="s">
        <v>1332</v>
      </c>
      <c r="L2256" s="1" t="s">
        <v>6146</v>
      </c>
      <c r="M2256" s="1" t="s">
        <v>6175</v>
      </c>
      <c r="N2256" s="1" t="s">
        <v>2778</v>
      </c>
      <c r="P2256" s="1" t="s">
        <v>6176</v>
      </c>
      <c r="Q2256" s="3">
        <v>0</v>
      </c>
      <c r="S2256" s="23" t="s">
        <v>5949</v>
      </c>
      <c r="T2256" s="23" t="s">
        <v>4929</v>
      </c>
      <c r="U2256" s="3">
        <v>34</v>
      </c>
      <c r="V2256" s="3" t="s">
        <v>6149</v>
      </c>
      <c r="W2256" s="45" t="str">
        <f>HYPERLINK("http://ictvonline.org/taxonomy/p/taxonomy-history?taxnode_id=201856982","ICTVonline=201856982")</f>
        <v>ICTVonline=201856982</v>
      </c>
      <c r="AA2256" s="1">
        <v>201850000</v>
      </c>
      <c r="AB2256" s="1">
        <v>34</v>
      </c>
    </row>
    <row r="2257" spans="1:28" x14ac:dyDescent="0.15">
      <c r="A2257" s="1">
        <v>5732</v>
      </c>
      <c r="J2257" s="1" t="s">
        <v>1332</v>
      </c>
      <c r="L2257" s="1" t="s">
        <v>6146</v>
      </c>
      <c r="M2257" s="1" t="s">
        <v>6175</v>
      </c>
      <c r="N2257" s="1" t="s">
        <v>2789</v>
      </c>
      <c r="P2257" s="1" t="s">
        <v>2790</v>
      </c>
      <c r="Q2257" s="3">
        <v>1</v>
      </c>
      <c r="S2257" s="23" t="s">
        <v>5949</v>
      </c>
      <c r="T2257" s="23" t="s">
        <v>4931</v>
      </c>
      <c r="U2257" s="3">
        <v>34</v>
      </c>
      <c r="W2257" s="45" t="str">
        <f>HYPERLINK("http://ictvonline.org/taxonomy/p/taxonomy-history?taxnode_id=201850263","ICTVonline=201850263")</f>
        <v>ICTVonline=201850263</v>
      </c>
      <c r="AA2257" s="1">
        <v>201850000</v>
      </c>
      <c r="AB2257" s="1">
        <v>34</v>
      </c>
    </row>
    <row r="2258" spans="1:28" x14ac:dyDescent="0.15">
      <c r="A2258" s="1">
        <v>5734</v>
      </c>
      <c r="J2258" s="1" t="s">
        <v>1332</v>
      </c>
      <c r="L2258" s="1" t="s">
        <v>6146</v>
      </c>
      <c r="M2258" s="1" t="s">
        <v>6175</v>
      </c>
      <c r="N2258" s="1" t="s">
        <v>2789</v>
      </c>
      <c r="P2258" s="1" t="s">
        <v>2791</v>
      </c>
      <c r="Q2258" s="3">
        <v>0</v>
      </c>
      <c r="S2258" s="23" t="s">
        <v>5949</v>
      </c>
      <c r="T2258" s="23" t="s">
        <v>4931</v>
      </c>
      <c r="U2258" s="3">
        <v>34</v>
      </c>
      <c r="W2258" s="45" t="str">
        <f>HYPERLINK("http://ictvonline.org/taxonomy/p/taxonomy-history?taxnode_id=201850264","ICTVonline=201850264")</f>
        <v>ICTVonline=201850264</v>
      </c>
      <c r="AA2258" s="1">
        <v>201850000</v>
      </c>
      <c r="AB2258" s="1">
        <v>34</v>
      </c>
    </row>
    <row r="2259" spans="1:28" x14ac:dyDescent="0.15">
      <c r="A2259" s="1">
        <v>5736</v>
      </c>
      <c r="J2259" s="1" t="s">
        <v>1332</v>
      </c>
      <c r="L2259" s="1" t="s">
        <v>6146</v>
      </c>
      <c r="M2259" s="1" t="s">
        <v>6175</v>
      </c>
      <c r="N2259" s="1" t="s">
        <v>2789</v>
      </c>
      <c r="P2259" s="1" t="s">
        <v>4199</v>
      </c>
      <c r="Q2259" s="3">
        <v>0</v>
      </c>
      <c r="S2259" s="23" t="s">
        <v>5949</v>
      </c>
      <c r="T2259" s="23" t="s">
        <v>4931</v>
      </c>
      <c r="U2259" s="3">
        <v>34</v>
      </c>
      <c r="W2259" s="45" t="str">
        <f>HYPERLINK("http://ictvonline.org/taxonomy/p/taxonomy-history?taxnode_id=201850265","ICTVonline=201850265")</f>
        <v>ICTVonline=201850265</v>
      </c>
      <c r="AA2259" s="1">
        <v>201850000</v>
      </c>
      <c r="AB2259" s="1">
        <v>34</v>
      </c>
    </row>
    <row r="2260" spans="1:28" x14ac:dyDescent="0.15">
      <c r="A2260" s="1">
        <v>5740</v>
      </c>
      <c r="J2260" s="1" t="s">
        <v>1332</v>
      </c>
      <c r="L2260" s="1" t="s">
        <v>6146</v>
      </c>
      <c r="M2260" s="1" t="s">
        <v>6175</v>
      </c>
      <c r="N2260" s="1" t="s">
        <v>2793</v>
      </c>
      <c r="P2260" s="1" t="s">
        <v>2794</v>
      </c>
      <c r="Q2260" s="3">
        <v>1</v>
      </c>
      <c r="S2260" s="23" t="s">
        <v>5949</v>
      </c>
      <c r="T2260" s="23" t="s">
        <v>4931</v>
      </c>
      <c r="U2260" s="3">
        <v>34</v>
      </c>
      <c r="W2260" s="45" t="str">
        <f>HYPERLINK("http://ictvonline.org/taxonomy/p/taxonomy-history?taxnode_id=201850273","ICTVonline=201850273")</f>
        <v>ICTVonline=201850273</v>
      </c>
      <c r="AA2260" s="1">
        <v>201850000</v>
      </c>
      <c r="AB2260" s="1">
        <v>34</v>
      </c>
    </row>
    <row r="2261" spans="1:28" x14ac:dyDescent="0.15">
      <c r="A2261" s="1">
        <v>5744</v>
      </c>
      <c r="J2261" s="1" t="s">
        <v>1332</v>
      </c>
      <c r="L2261" s="1" t="s">
        <v>6146</v>
      </c>
      <c r="P2261" s="1" t="s">
        <v>6177</v>
      </c>
      <c r="Q2261" s="3">
        <v>0</v>
      </c>
      <c r="S2261" s="23" t="s">
        <v>5949</v>
      </c>
      <c r="T2261" s="23" t="s">
        <v>4929</v>
      </c>
      <c r="U2261" s="3">
        <v>34</v>
      </c>
      <c r="V2261" s="3" t="s">
        <v>6149</v>
      </c>
      <c r="W2261" s="45" t="str">
        <f>HYPERLINK("http://ictvonline.org/taxonomy/p/taxonomy-history?taxnode_id=201856983","ICTVonline=201856983")</f>
        <v>ICTVonline=201856983</v>
      </c>
      <c r="AA2261" s="1">
        <v>201850000</v>
      </c>
      <c r="AB2261" s="1">
        <v>34</v>
      </c>
    </row>
    <row r="2262" spans="1:28" x14ac:dyDescent="0.15">
      <c r="A2262" s="1">
        <v>5746</v>
      </c>
      <c r="J2262" s="1" t="s">
        <v>1332</v>
      </c>
      <c r="L2262" s="1" t="s">
        <v>6146</v>
      </c>
      <c r="P2262" s="1" t="s">
        <v>4933</v>
      </c>
      <c r="Q2262" s="3">
        <v>0</v>
      </c>
      <c r="S2262" s="23" t="s">
        <v>5949</v>
      </c>
      <c r="T2262" s="23" t="s">
        <v>4931</v>
      </c>
      <c r="U2262" s="3">
        <v>34</v>
      </c>
      <c r="V2262" s="3" t="s">
        <v>6149</v>
      </c>
      <c r="W2262" s="45" t="str">
        <f>HYPERLINK("http://ictvonline.org/taxonomy/p/taxonomy-history?taxnode_id=201850276","ICTVonline=201850276")</f>
        <v>ICTVonline=201850276</v>
      </c>
      <c r="AA2262" s="1">
        <v>201850000</v>
      </c>
      <c r="AB2262" s="1">
        <v>34</v>
      </c>
    </row>
    <row r="2263" spans="1:28" x14ac:dyDescent="0.15">
      <c r="A2263" s="1">
        <v>5748</v>
      </c>
      <c r="J2263" s="1" t="s">
        <v>1332</v>
      </c>
      <c r="L2263" s="1" t="s">
        <v>6146</v>
      </c>
      <c r="P2263" s="1" t="s">
        <v>2795</v>
      </c>
      <c r="Q2263" s="3">
        <v>0</v>
      </c>
      <c r="S2263" s="23" t="s">
        <v>5949</v>
      </c>
      <c r="T2263" s="23" t="s">
        <v>4931</v>
      </c>
      <c r="U2263" s="3">
        <v>34</v>
      </c>
      <c r="V2263" s="3" t="s">
        <v>6149</v>
      </c>
      <c r="W2263" s="45" t="str">
        <f>HYPERLINK("http://ictvonline.org/taxonomy/p/taxonomy-history?taxnode_id=201850277","ICTVonline=201850277")</f>
        <v>ICTVonline=201850277</v>
      </c>
      <c r="AA2263" s="1">
        <v>201850000</v>
      </c>
      <c r="AB2263" s="1">
        <v>34</v>
      </c>
    </row>
    <row r="2264" spans="1:28" x14ac:dyDescent="0.15">
      <c r="A2264" s="1">
        <v>5754</v>
      </c>
      <c r="J2264" s="1" t="s">
        <v>1332</v>
      </c>
      <c r="L2264" s="1" t="s">
        <v>1333</v>
      </c>
      <c r="M2264" s="1" t="s">
        <v>2626</v>
      </c>
      <c r="N2264" s="1" t="s">
        <v>6178</v>
      </c>
      <c r="P2264" s="1" t="s">
        <v>4928</v>
      </c>
      <c r="Q2264" s="3">
        <v>0</v>
      </c>
      <c r="S2264" s="23" t="s">
        <v>5949</v>
      </c>
      <c r="T2264" s="23" t="s">
        <v>4931</v>
      </c>
      <c r="U2264" s="3">
        <v>34</v>
      </c>
      <c r="W2264" s="45" t="str">
        <f>HYPERLINK("http://ictvonline.org/taxonomy/p/taxonomy-history?taxnode_id=201850194","ICTVonline=201850194")</f>
        <v>ICTVonline=201850194</v>
      </c>
      <c r="AA2264" s="1">
        <v>201850000</v>
      </c>
      <c r="AB2264" s="1">
        <v>34</v>
      </c>
    </row>
    <row r="2265" spans="1:28" x14ac:dyDescent="0.15">
      <c r="A2265" s="1">
        <v>5756</v>
      </c>
      <c r="J2265" s="1" t="s">
        <v>1332</v>
      </c>
      <c r="L2265" s="1" t="s">
        <v>1333</v>
      </c>
      <c r="M2265" s="1" t="s">
        <v>2626</v>
      </c>
      <c r="N2265" s="1" t="s">
        <v>6178</v>
      </c>
      <c r="P2265" s="1" t="s">
        <v>2754</v>
      </c>
      <c r="Q2265" s="3">
        <v>1</v>
      </c>
      <c r="S2265" s="23" t="s">
        <v>5949</v>
      </c>
      <c r="T2265" s="23" t="s">
        <v>4931</v>
      </c>
      <c r="U2265" s="3">
        <v>34</v>
      </c>
      <c r="W2265" s="45" t="str">
        <f>HYPERLINK("http://ictvonline.org/taxonomy/p/taxonomy-history?taxnode_id=201850195","ICTVonline=201850195")</f>
        <v>ICTVonline=201850195</v>
      </c>
      <c r="AA2265" s="1">
        <v>201850000</v>
      </c>
      <c r="AB2265" s="1">
        <v>34</v>
      </c>
    </row>
    <row r="2266" spans="1:28" x14ac:dyDescent="0.15">
      <c r="A2266" s="1">
        <v>5758</v>
      </c>
      <c r="J2266" s="1" t="s">
        <v>1332</v>
      </c>
      <c r="L2266" s="1" t="s">
        <v>1333</v>
      </c>
      <c r="M2266" s="1" t="s">
        <v>2626</v>
      </c>
      <c r="N2266" s="1" t="s">
        <v>6178</v>
      </c>
      <c r="P2266" s="1" t="s">
        <v>2755</v>
      </c>
      <c r="Q2266" s="3">
        <v>0</v>
      </c>
      <c r="S2266" s="23" t="s">
        <v>5949</v>
      </c>
      <c r="T2266" s="23" t="s">
        <v>4931</v>
      </c>
      <c r="U2266" s="3">
        <v>34</v>
      </c>
      <c r="W2266" s="45" t="str">
        <f>HYPERLINK("http://ictvonline.org/taxonomy/p/taxonomy-history?taxnode_id=201850196","ICTVonline=201850196")</f>
        <v>ICTVonline=201850196</v>
      </c>
      <c r="AA2266" s="1">
        <v>201850000</v>
      </c>
      <c r="AB2266" s="1">
        <v>34</v>
      </c>
    </row>
    <row r="2267" spans="1:28" x14ac:dyDescent="0.15">
      <c r="A2267" s="1">
        <v>5760</v>
      </c>
      <c r="J2267" s="1" t="s">
        <v>1332</v>
      </c>
      <c r="L2267" s="1" t="s">
        <v>1333</v>
      </c>
      <c r="M2267" s="1" t="s">
        <v>2626</v>
      </c>
      <c r="N2267" s="1" t="s">
        <v>6178</v>
      </c>
      <c r="P2267" s="1" t="s">
        <v>2756</v>
      </c>
      <c r="Q2267" s="3">
        <v>0</v>
      </c>
      <c r="S2267" s="23" t="s">
        <v>5949</v>
      </c>
      <c r="T2267" s="23" t="s">
        <v>4931</v>
      </c>
      <c r="U2267" s="3">
        <v>34</v>
      </c>
      <c r="W2267" s="45" t="str">
        <f>HYPERLINK("http://ictvonline.org/taxonomy/p/taxonomy-history?taxnode_id=201850197","ICTVonline=201850197")</f>
        <v>ICTVonline=201850197</v>
      </c>
      <c r="AA2267" s="1">
        <v>201850000</v>
      </c>
      <c r="AB2267" s="1">
        <v>34</v>
      </c>
    </row>
    <row r="2268" spans="1:28" x14ac:dyDescent="0.15">
      <c r="A2268" s="1">
        <v>5764</v>
      </c>
      <c r="J2268" s="1" t="s">
        <v>1332</v>
      </c>
      <c r="L2268" s="1" t="s">
        <v>1333</v>
      </c>
      <c r="M2268" s="1" t="s">
        <v>2626</v>
      </c>
      <c r="N2268" s="1" t="s">
        <v>6179</v>
      </c>
      <c r="P2268" s="1" t="s">
        <v>2757</v>
      </c>
      <c r="Q2268" s="3">
        <v>1</v>
      </c>
      <c r="S2268" s="23" t="s">
        <v>5949</v>
      </c>
      <c r="T2268" s="23" t="s">
        <v>4931</v>
      </c>
      <c r="U2268" s="3">
        <v>34</v>
      </c>
      <c r="W2268" s="45" t="str">
        <f>HYPERLINK("http://ictvonline.org/taxonomy/p/taxonomy-history?taxnode_id=201850199","ICTVonline=201850199")</f>
        <v>ICTVonline=201850199</v>
      </c>
      <c r="AA2268" s="1">
        <v>201850000</v>
      </c>
      <c r="AB2268" s="1">
        <v>34</v>
      </c>
    </row>
    <row r="2269" spans="1:28" x14ac:dyDescent="0.15">
      <c r="A2269" s="1">
        <v>5766</v>
      </c>
      <c r="J2269" s="1" t="s">
        <v>1332</v>
      </c>
      <c r="L2269" s="1" t="s">
        <v>1333</v>
      </c>
      <c r="M2269" s="1" t="s">
        <v>2626</v>
      </c>
      <c r="N2269" s="1" t="s">
        <v>6179</v>
      </c>
      <c r="P2269" s="1" t="s">
        <v>4187</v>
      </c>
      <c r="Q2269" s="3">
        <v>0</v>
      </c>
      <c r="S2269" s="23" t="s">
        <v>5949</v>
      </c>
      <c r="T2269" s="23" t="s">
        <v>4931</v>
      </c>
      <c r="U2269" s="3">
        <v>34</v>
      </c>
      <c r="W2269" s="45" t="str">
        <f>HYPERLINK("http://ictvonline.org/taxonomy/p/taxonomy-history?taxnode_id=201850200","ICTVonline=201850200")</f>
        <v>ICTVonline=201850200</v>
      </c>
      <c r="AA2269" s="1">
        <v>201850000</v>
      </c>
      <c r="AB2269" s="1">
        <v>34</v>
      </c>
    </row>
    <row r="2270" spans="1:28" x14ac:dyDescent="0.15">
      <c r="A2270" s="1">
        <v>5768</v>
      </c>
      <c r="J2270" s="1" t="s">
        <v>1332</v>
      </c>
      <c r="L2270" s="1" t="s">
        <v>1333</v>
      </c>
      <c r="M2270" s="1" t="s">
        <v>2626</v>
      </c>
      <c r="N2270" s="1" t="s">
        <v>6179</v>
      </c>
      <c r="P2270" s="1" t="s">
        <v>2758</v>
      </c>
      <c r="Q2270" s="3">
        <v>0</v>
      </c>
      <c r="S2270" s="23" t="s">
        <v>5949</v>
      </c>
      <c r="T2270" s="23" t="s">
        <v>4931</v>
      </c>
      <c r="U2270" s="3">
        <v>34</v>
      </c>
      <c r="W2270" s="45" t="str">
        <f>HYPERLINK("http://ictvonline.org/taxonomy/p/taxonomy-history?taxnode_id=201850201","ICTVonline=201850201")</f>
        <v>ICTVonline=201850201</v>
      </c>
      <c r="AA2270" s="1">
        <v>201850000</v>
      </c>
      <c r="AB2270" s="1">
        <v>34</v>
      </c>
    </row>
    <row r="2271" spans="1:28" x14ac:dyDescent="0.15">
      <c r="A2271" s="1">
        <v>5770</v>
      </c>
      <c r="J2271" s="1" t="s">
        <v>1332</v>
      </c>
      <c r="L2271" s="1" t="s">
        <v>1333</v>
      </c>
      <c r="M2271" s="1" t="s">
        <v>2626</v>
      </c>
      <c r="N2271" s="1" t="s">
        <v>6179</v>
      </c>
      <c r="P2271" s="1" t="s">
        <v>6180</v>
      </c>
      <c r="Q2271" s="3">
        <v>0</v>
      </c>
      <c r="S2271" s="23" t="s">
        <v>5949</v>
      </c>
      <c r="T2271" s="23" t="s">
        <v>4929</v>
      </c>
      <c r="U2271" s="3">
        <v>34</v>
      </c>
      <c r="V2271" s="3" t="s">
        <v>6181</v>
      </c>
      <c r="W2271" s="45" t="str">
        <f>HYPERLINK("http://ictvonline.org/taxonomy/p/taxonomy-history?taxnode_id=201856998","ICTVonline=201856998")</f>
        <v>ICTVonline=201856998</v>
      </c>
      <c r="AA2271" s="1">
        <v>201850000</v>
      </c>
      <c r="AB2271" s="1">
        <v>34</v>
      </c>
    </row>
    <row r="2272" spans="1:28" x14ac:dyDescent="0.15">
      <c r="A2272" s="1">
        <v>5772</v>
      </c>
      <c r="J2272" s="1" t="s">
        <v>1332</v>
      </c>
      <c r="L2272" s="1" t="s">
        <v>1333</v>
      </c>
      <c r="M2272" s="1" t="s">
        <v>2626</v>
      </c>
      <c r="N2272" s="1" t="s">
        <v>6179</v>
      </c>
      <c r="P2272" s="1" t="s">
        <v>2759</v>
      </c>
      <c r="Q2272" s="3">
        <v>0</v>
      </c>
      <c r="S2272" s="23" t="s">
        <v>5949</v>
      </c>
      <c r="T2272" s="23" t="s">
        <v>4931</v>
      </c>
      <c r="U2272" s="3">
        <v>34</v>
      </c>
      <c r="W2272" s="45" t="str">
        <f>HYPERLINK("http://ictvonline.org/taxonomy/p/taxonomy-history?taxnode_id=201850202","ICTVonline=201850202")</f>
        <v>ICTVonline=201850202</v>
      </c>
      <c r="AA2272" s="1">
        <v>201850000</v>
      </c>
      <c r="AB2272" s="1">
        <v>34</v>
      </c>
    </row>
    <row r="2273" spans="1:28" x14ac:dyDescent="0.15">
      <c r="A2273" s="1">
        <v>5778</v>
      </c>
      <c r="J2273" s="1" t="s">
        <v>1332</v>
      </c>
      <c r="L2273" s="1" t="s">
        <v>1333</v>
      </c>
      <c r="M2273" s="1" t="s">
        <v>4116</v>
      </c>
      <c r="N2273" s="1" t="s">
        <v>6182</v>
      </c>
      <c r="P2273" s="1" t="s">
        <v>6183</v>
      </c>
      <c r="Q2273" s="3">
        <v>0</v>
      </c>
      <c r="S2273" s="23" t="s">
        <v>5949</v>
      </c>
      <c r="T2273" s="23" t="s">
        <v>4929</v>
      </c>
      <c r="U2273" s="3">
        <v>34</v>
      </c>
      <c r="V2273" s="3" t="s">
        <v>6181</v>
      </c>
      <c r="W2273" s="45" t="str">
        <f>HYPERLINK("http://ictvonline.org/taxonomy/p/taxonomy-history?taxnode_id=201857010","ICTVonline=201857010")</f>
        <v>ICTVonline=201857010</v>
      </c>
      <c r="AA2273" s="1">
        <v>201850000</v>
      </c>
      <c r="AB2273" s="1">
        <v>34</v>
      </c>
    </row>
    <row r="2274" spans="1:28" x14ac:dyDescent="0.15">
      <c r="A2274" s="1">
        <v>5780</v>
      </c>
      <c r="J2274" s="1" t="s">
        <v>1332</v>
      </c>
      <c r="L2274" s="1" t="s">
        <v>1333</v>
      </c>
      <c r="M2274" s="1" t="s">
        <v>4116</v>
      </c>
      <c r="N2274" s="1" t="s">
        <v>6182</v>
      </c>
      <c r="P2274" s="1" t="s">
        <v>2888</v>
      </c>
      <c r="Q2274" s="3">
        <v>0</v>
      </c>
      <c r="S2274" s="23" t="s">
        <v>5949</v>
      </c>
      <c r="T2274" s="23" t="s">
        <v>4931</v>
      </c>
      <c r="U2274" s="3">
        <v>34</v>
      </c>
      <c r="W2274" s="45" t="str">
        <f>HYPERLINK("http://ictvonline.org/taxonomy/p/taxonomy-history?taxnode_id=201850208","ICTVonline=201850208")</f>
        <v>ICTVonline=201850208</v>
      </c>
      <c r="AA2274" s="1">
        <v>201850000</v>
      </c>
      <c r="AB2274" s="1">
        <v>34</v>
      </c>
    </row>
    <row r="2275" spans="1:28" x14ac:dyDescent="0.15">
      <c r="A2275" s="1">
        <v>5782</v>
      </c>
      <c r="J2275" s="1" t="s">
        <v>1332</v>
      </c>
      <c r="L2275" s="1" t="s">
        <v>1333</v>
      </c>
      <c r="M2275" s="1" t="s">
        <v>4116</v>
      </c>
      <c r="N2275" s="1" t="s">
        <v>6182</v>
      </c>
      <c r="P2275" s="1" t="s">
        <v>2889</v>
      </c>
      <c r="Q2275" s="3">
        <v>0</v>
      </c>
      <c r="S2275" s="23" t="s">
        <v>5949</v>
      </c>
      <c r="T2275" s="23" t="s">
        <v>4931</v>
      </c>
      <c r="U2275" s="3">
        <v>34</v>
      </c>
      <c r="W2275" s="45" t="str">
        <f>HYPERLINK("http://ictvonline.org/taxonomy/p/taxonomy-history?taxnode_id=201850209","ICTVonline=201850209")</f>
        <v>ICTVonline=201850209</v>
      </c>
      <c r="AA2275" s="1">
        <v>201850000</v>
      </c>
      <c r="AB2275" s="1">
        <v>34</v>
      </c>
    </row>
    <row r="2276" spans="1:28" x14ac:dyDescent="0.15">
      <c r="A2276" s="1">
        <v>5784</v>
      </c>
      <c r="J2276" s="1" t="s">
        <v>1332</v>
      </c>
      <c r="L2276" s="1" t="s">
        <v>1333</v>
      </c>
      <c r="M2276" s="1" t="s">
        <v>4116</v>
      </c>
      <c r="N2276" s="1" t="s">
        <v>6182</v>
      </c>
      <c r="P2276" s="1" t="s">
        <v>4189</v>
      </c>
      <c r="Q2276" s="3">
        <v>0</v>
      </c>
      <c r="S2276" s="23" t="s">
        <v>5949</v>
      </c>
      <c r="T2276" s="23" t="s">
        <v>4931</v>
      </c>
      <c r="U2276" s="3">
        <v>34</v>
      </c>
      <c r="W2276" s="45" t="str">
        <f>HYPERLINK("http://ictvonline.org/taxonomy/p/taxonomy-history?taxnode_id=201850210","ICTVonline=201850210")</f>
        <v>ICTVonline=201850210</v>
      </c>
      <c r="AA2276" s="1">
        <v>201850000</v>
      </c>
      <c r="AB2276" s="1">
        <v>34</v>
      </c>
    </row>
    <row r="2277" spans="1:28" x14ac:dyDescent="0.15">
      <c r="A2277" s="1">
        <v>5786</v>
      </c>
      <c r="J2277" s="1" t="s">
        <v>1332</v>
      </c>
      <c r="L2277" s="1" t="s">
        <v>1333</v>
      </c>
      <c r="M2277" s="1" t="s">
        <v>4116</v>
      </c>
      <c r="N2277" s="1" t="s">
        <v>6182</v>
      </c>
      <c r="P2277" s="1" t="s">
        <v>2890</v>
      </c>
      <c r="Q2277" s="3">
        <v>0</v>
      </c>
      <c r="S2277" s="23" t="s">
        <v>5949</v>
      </c>
      <c r="T2277" s="23" t="s">
        <v>4931</v>
      </c>
      <c r="U2277" s="3">
        <v>34</v>
      </c>
      <c r="W2277" s="45" t="str">
        <f>HYPERLINK("http://ictvonline.org/taxonomy/p/taxonomy-history?taxnode_id=201850211","ICTVonline=201850211")</f>
        <v>ICTVonline=201850211</v>
      </c>
      <c r="AA2277" s="1">
        <v>201850000</v>
      </c>
      <c r="AB2277" s="1">
        <v>34</v>
      </c>
    </row>
    <row r="2278" spans="1:28" x14ac:dyDescent="0.15">
      <c r="A2278" s="1">
        <v>5788</v>
      </c>
      <c r="J2278" s="1" t="s">
        <v>1332</v>
      </c>
      <c r="L2278" s="1" t="s">
        <v>1333</v>
      </c>
      <c r="M2278" s="1" t="s">
        <v>4116</v>
      </c>
      <c r="N2278" s="1" t="s">
        <v>6182</v>
      </c>
      <c r="P2278" s="1" t="s">
        <v>4190</v>
      </c>
      <c r="Q2278" s="3">
        <v>0</v>
      </c>
      <c r="S2278" s="23" t="s">
        <v>5949</v>
      </c>
      <c r="T2278" s="23" t="s">
        <v>4931</v>
      </c>
      <c r="U2278" s="3">
        <v>34</v>
      </c>
      <c r="W2278" s="45" t="str">
        <f>HYPERLINK("http://ictvonline.org/taxonomy/p/taxonomy-history?taxnode_id=201850212","ICTVonline=201850212")</f>
        <v>ICTVonline=201850212</v>
      </c>
      <c r="AA2278" s="1">
        <v>201850000</v>
      </c>
      <c r="AB2278" s="1">
        <v>34</v>
      </c>
    </row>
    <row r="2279" spans="1:28" x14ac:dyDescent="0.15">
      <c r="A2279" s="1">
        <v>5790</v>
      </c>
      <c r="J2279" s="1" t="s">
        <v>1332</v>
      </c>
      <c r="L2279" s="1" t="s">
        <v>1333</v>
      </c>
      <c r="M2279" s="1" t="s">
        <v>4116</v>
      </c>
      <c r="N2279" s="1" t="s">
        <v>6182</v>
      </c>
      <c r="P2279" s="1" t="s">
        <v>2891</v>
      </c>
      <c r="Q2279" s="3">
        <v>0</v>
      </c>
      <c r="S2279" s="23" t="s">
        <v>5949</v>
      </c>
      <c r="T2279" s="23" t="s">
        <v>4931</v>
      </c>
      <c r="U2279" s="3">
        <v>34</v>
      </c>
      <c r="W2279" s="45" t="str">
        <f>HYPERLINK("http://ictvonline.org/taxonomy/p/taxonomy-history?taxnode_id=201850213","ICTVonline=201850213")</f>
        <v>ICTVonline=201850213</v>
      </c>
      <c r="AA2279" s="1">
        <v>201850000</v>
      </c>
      <c r="AB2279" s="1">
        <v>34</v>
      </c>
    </row>
    <row r="2280" spans="1:28" x14ac:dyDescent="0.15">
      <c r="A2280" s="1">
        <v>5792</v>
      </c>
      <c r="J2280" s="1" t="s">
        <v>1332</v>
      </c>
      <c r="L2280" s="1" t="s">
        <v>1333</v>
      </c>
      <c r="M2280" s="1" t="s">
        <v>4116</v>
      </c>
      <c r="N2280" s="1" t="s">
        <v>6182</v>
      </c>
      <c r="P2280" s="1" t="s">
        <v>2892</v>
      </c>
      <c r="Q2280" s="3">
        <v>0</v>
      </c>
      <c r="S2280" s="23" t="s">
        <v>5949</v>
      </c>
      <c r="T2280" s="23" t="s">
        <v>4931</v>
      </c>
      <c r="U2280" s="3">
        <v>34</v>
      </c>
      <c r="W2280" s="45" t="str">
        <f>HYPERLINK("http://ictvonline.org/taxonomy/p/taxonomy-history?taxnode_id=201850214","ICTVonline=201850214")</f>
        <v>ICTVonline=201850214</v>
      </c>
      <c r="AA2280" s="1">
        <v>201850000</v>
      </c>
      <c r="AB2280" s="1">
        <v>34</v>
      </c>
    </row>
    <row r="2281" spans="1:28" x14ac:dyDescent="0.15">
      <c r="A2281" s="1">
        <v>5794</v>
      </c>
      <c r="J2281" s="1" t="s">
        <v>1332</v>
      </c>
      <c r="L2281" s="1" t="s">
        <v>1333</v>
      </c>
      <c r="M2281" s="1" t="s">
        <v>4116</v>
      </c>
      <c r="N2281" s="1" t="s">
        <v>6182</v>
      </c>
      <c r="P2281" s="1" t="s">
        <v>6184</v>
      </c>
      <c r="Q2281" s="3">
        <v>0</v>
      </c>
      <c r="S2281" s="23" t="s">
        <v>5949</v>
      </c>
      <c r="T2281" s="23" t="s">
        <v>4929</v>
      </c>
      <c r="U2281" s="3">
        <v>34</v>
      </c>
      <c r="V2281" s="3" t="s">
        <v>6181</v>
      </c>
      <c r="W2281" s="45" t="str">
        <f>HYPERLINK("http://ictvonline.org/taxonomy/p/taxonomy-history?taxnode_id=201857009","ICTVonline=201857009")</f>
        <v>ICTVonline=201857009</v>
      </c>
      <c r="AA2281" s="1">
        <v>201850000</v>
      </c>
      <c r="AB2281" s="1">
        <v>34</v>
      </c>
    </row>
    <row r="2282" spans="1:28" x14ac:dyDescent="0.15">
      <c r="A2282" s="1">
        <v>5796</v>
      </c>
      <c r="J2282" s="1" t="s">
        <v>1332</v>
      </c>
      <c r="L2282" s="1" t="s">
        <v>1333</v>
      </c>
      <c r="M2282" s="1" t="s">
        <v>4116</v>
      </c>
      <c r="N2282" s="1" t="s">
        <v>6182</v>
      </c>
      <c r="P2282" s="1" t="s">
        <v>6185</v>
      </c>
      <c r="Q2282" s="3">
        <v>0</v>
      </c>
      <c r="S2282" s="23" t="s">
        <v>5949</v>
      </c>
      <c r="T2282" s="23" t="s">
        <v>4929</v>
      </c>
      <c r="U2282" s="3">
        <v>34</v>
      </c>
      <c r="V2282" s="3" t="s">
        <v>6181</v>
      </c>
      <c r="W2282" s="45" t="str">
        <f>HYPERLINK("http://ictvonline.org/taxonomy/p/taxonomy-history?taxnode_id=201857007","ICTVonline=201857007")</f>
        <v>ICTVonline=201857007</v>
      </c>
      <c r="AA2282" s="1">
        <v>201850000</v>
      </c>
      <c r="AB2282" s="1">
        <v>34</v>
      </c>
    </row>
    <row r="2283" spans="1:28" x14ac:dyDescent="0.15">
      <c r="A2283" s="1">
        <v>5798</v>
      </c>
      <c r="J2283" s="1" t="s">
        <v>1332</v>
      </c>
      <c r="L2283" s="1" t="s">
        <v>1333</v>
      </c>
      <c r="M2283" s="1" t="s">
        <v>4116</v>
      </c>
      <c r="N2283" s="1" t="s">
        <v>6182</v>
      </c>
      <c r="P2283" s="1" t="s">
        <v>6186</v>
      </c>
      <c r="Q2283" s="3">
        <v>0</v>
      </c>
      <c r="S2283" s="23" t="s">
        <v>5949</v>
      </c>
      <c r="T2283" s="23" t="s">
        <v>4929</v>
      </c>
      <c r="U2283" s="3">
        <v>34</v>
      </c>
      <c r="V2283" s="3" t="s">
        <v>6181</v>
      </c>
      <c r="W2283" s="45" t="str">
        <f>HYPERLINK("http://ictvonline.org/taxonomy/p/taxonomy-history?taxnode_id=201857006","ICTVonline=201857006")</f>
        <v>ICTVonline=201857006</v>
      </c>
      <c r="AA2283" s="1">
        <v>201850000</v>
      </c>
      <c r="AB2283" s="1">
        <v>34</v>
      </c>
    </row>
    <row r="2284" spans="1:28" x14ac:dyDescent="0.15">
      <c r="A2284" s="1">
        <v>5800</v>
      </c>
      <c r="J2284" s="1" t="s">
        <v>1332</v>
      </c>
      <c r="L2284" s="1" t="s">
        <v>1333</v>
      </c>
      <c r="M2284" s="1" t="s">
        <v>4116</v>
      </c>
      <c r="N2284" s="1" t="s">
        <v>6182</v>
      </c>
      <c r="P2284" s="1" t="s">
        <v>2893</v>
      </c>
      <c r="Q2284" s="3">
        <v>1</v>
      </c>
      <c r="S2284" s="23" t="s">
        <v>5949</v>
      </c>
      <c r="T2284" s="23" t="s">
        <v>4931</v>
      </c>
      <c r="U2284" s="3">
        <v>34</v>
      </c>
      <c r="W2284" s="45" t="str">
        <f>HYPERLINK("http://ictvonline.org/taxonomy/p/taxonomy-history?taxnode_id=201850215","ICTVonline=201850215")</f>
        <v>ICTVonline=201850215</v>
      </c>
      <c r="AA2284" s="1">
        <v>201850000</v>
      </c>
      <c r="AB2284" s="1">
        <v>34</v>
      </c>
    </row>
    <row r="2285" spans="1:28" x14ac:dyDescent="0.15">
      <c r="A2285" s="1">
        <v>5802</v>
      </c>
      <c r="J2285" s="1" t="s">
        <v>1332</v>
      </c>
      <c r="L2285" s="1" t="s">
        <v>1333</v>
      </c>
      <c r="M2285" s="1" t="s">
        <v>4116</v>
      </c>
      <c r="N2285" s="1" t="s">
        <v>6182</v>
      </c>
      <c r="P2285" s="1" t="s">
        <v>2894</v>
      </c>
      <c r="Q2285" s="3">
        <v>0</v>
      </c>
      <c r="S2285" s="23" t="s">
        <v>5949</v>
      </c>
      <c r="T2285" s="23" t="s">
        <v>4931</v>
      </c>
      <c r="U2285" s="3">
        <v>34</v>
      </c>
      <c r="W2285" s="45" t="str">
        <f>HYPERLINK("http://ictvonline.org/taxonomy/p/taxonomy-history?taxnode_id=201850216","ICTVonline=201850216")</f>
        <v>ICTVonline=201850216</v>
      </c>
      <c r="AA2285" s="1">
        <v>201850000</v>
      </c>
      <c r="AB2285" s="1">
        <v>34</v>
      </c>
    </row>
    <row r="2286" spans="1:28" x14ac:dyDescent="0.15">
      <c r="A2286" s="1">
        <v>5804</v>
      </c>
      <c r="J2286" s="1" t="s">
        <v>1332</v>
      </c>
      <c r="L2286" s="1" t="s">
        <v>1333</v>
      </c>
      <c r="M2286" s="1" t="s">
        <v>4116</v>
      </c>
      <c r="N2286" s="1" t="s">
        <v>6182</v>
      </c>
      <c r="P2286" s="1" t="s">
        <v>2895</v>
      </c>
      <c r="Q2286" s="3">
        <v>0</v>
      </c>
      <c r="S2286" s="23" t="s">
        <v>5949</v>
      </c>
      <c r="T2286" s="23" t="s">
        <v>4931</v>
      </c>
      <c r="U2286" s="3">
        <v>34</v>
      </c>
      <c r="W2286" s="45" t="str">
        <f>HYPERLINK("http://ictvonline.org/taxonomy/p/taxonomy-history?taxnode_id=201850217","ICTVonline=201850217")</f>
        <v>ICTVonline=201850217</v>
      </c>
      <c r="AA2286" s="1">
        <v>201850000</v>
      </c>
      <c r="AB2286" s="1">
        <v>34</v>
      </c>
    </row>
    <row r="2287" spans="1:28" x14ac:dyDescent="0.15">
      <c r="A2287" s="1">
        <v>5806</v>
      </c>
      <c r="J2287" s="1" t="s">
        <v>1332</v>
      </c>
      <c r="L2287" s="1" t="s">
        <v>1333</v>
      </c>
      <c r="M2287" s="1" t="s">
        <v>4116</v>
      </c>
      <c r="N2287" s="1" t="s">
        <v>6182</v>
      </c>
      <c r="P2287" s="1" t="s">
        <v>6187</v>
      </c>
      <c r="Q2287" s="3">
        <v>0</v>
      </c>
      <c r="S2287" s="23" t="s">
        <v>5949</v>
      </c>
      <c r="T2287" s="23" t="s">
        <v>4929</v>
      </c>
      <c r="U2287" s="3">
        <v>34</v>
      </c>
      <c r="V2287" s="3" t="s">
        <v>6181</v>
      </c>
      <c r="W2287" s="45" t="str">
        <f>HYPERLINK("http://ictvonline.org/taxonomy/p/taxonomy-history?taxnode_id=201857008","ICTVonline=201857008")</f>
        <v>ICTVonline=201857008</v>
      </c>
      <c r="AA2287" s="1">
        <v>201850000</v>
      </c>
      <c r="AB2287" s="1">
        <v>34</v>
      </c>
    </row>
    <row r="2288" spans="1:28" x14ac:dyDescent="0.15">
      <c r="A2288" s="1">
        <v>5808</v>
      </c>
      <c r="J2288" s="1" t="s">
        <v>1332</v>
      </c>
      <c r="L2288" s="1" t="s">
        <v>1333</v>
      </c>
      <c r="M2288" s="1" t="s">
        <v>4116</v>
      </c>
      <c r="N2288" s="1" t="s">
        <v>6182</v>
      </c>
      <c r="P2288" s="1" t="s">
        <v>6188</v>
      </c>
      <c r="Q2288" s="3">
        <v>0</v>
      </c>
      <c r="S2288" s="23" t="s">
        <v>5949</v>
      </c>
      <c r="T2288" s="23" t="s">
        <v>4929</v>
      </c>
      <c r="U2288" s="3">
        <v>34</v>
      </c>
      <c r="V2288" s="3" t="s">
        <v>6189</v>
      </c>
      <c r="W2288" s="45" t="str">
        <f>HYPERLINK("http://ictvonline.org/taxonomy/p/taxonomy-history?taxnode_id=201856902","ICTVonline=201856902")</f>
        <v>ICTVonline=201856902</v>
      </c>
      <c r="AA2288" s="1">
        <v>201850000</v>
      </c>
      <c r="AB2288" s="1">
        <v>34</v>
      </c>
    </row>
    <row r="2289" spans="1:28" x14ac:dyDescent="0.15">
      <c r="A2289" s="1">
        <v>5810</v>
      </c>
      <c r="J2289" s="1" t="s">
        <v>1332</v>
      </c>
      <c r="L2289" s="1" t="s">
        <v>1333</v>
      </c>
      <c r="M2289" s="1" t="s">
        <v>4116</v>
      </c>
      <c r="N2289" s="1" t="s">
        <v>6182</v>
      </c>
      <c r="P2289" s="1" t="s">
        <v>2896</v>
      </c>
      <c r="Q2289" s="3">
        <v>0</v>
      </c>
      <c r="S2289" s="23" t="s">
        <v>5949</v>
      </c>
      <c r="T2289" s="23" t="s">
        <v>4931</v>
      </c>
      <c r="U2289" s="3">
        <v>34</v>
      </c>
      <c r="W2289" s="45" t="str">
        <f>HYPERLINK("http://ictvonline.org/taxonomy/p/taxonomy-history?taxnode_id=201850218","ICTVonline=201850218")</f>
        <v>ICTVonline=201850218</v>
      </c>
      <c r="AA2289" s="1">
        <v>201850000</v>
      </c>
      <c r="AB2289" s="1">
        <v>34</v>
      </c>
    </row>
    <row r="2290" spans="1:28" x14ac:dyDescent="0.15">
      <c r="A2290" s="1">
        <v>5814</v>
      </c>
      <c r="J2290" s="1" t="s">
        <v>1332</v>
      </c>
      <c r="L2290" s="1" t="s">
        <v>1333</v>
      </c>
      <c r="M2290" s="1" t="s">
        <v>4116</v>
      </c>
      <c r="N2290" s="1" t="s">
        <v>6190</v>
      </c>
      <c r="P2290" s="1" t="s">
        <v>2887</v>
      </c>
      <c r="Q2290" s="3">
        <v>1</v>
      </c>
      <c r="S2290" s="23" t="s">
        <v>5949</v>
      </c>
      <c r="T2290" s="23" t="s">
        <v>4931</v>
      </c>
      <c r="U2290" s="3">
        <v>34</v>
      </c>
      <c r="W2290" s="45" t="str">
        <f>HYPERLINK("http://ictvonline.org/taxonomy/p/taxonomy-history?taxnode_id=201850205","ICTVonline=201850205")</f>
        <v>ICTVonline=201850205</v>
      </c>
      <c r="AA2290" s="1">
        <v>201850000</v>
      </c>
      <c r="AB2290" s="1">
        <v>34</v>
      </c>
    </row>
    <row r="2291" spans="1:28" x14ac:dyDescent="0.15">
      <c r="A2291" s="1">
        <v>5816</v>
      </c>
      <c r="J2291" s="1" t="s">
        <v>1332</v>
      </c>
      <c r="L2291" s="1" t="s">
        <v>1333</v>
      </c>
      <c r="M2291" s="1" t="s">
        <v>4116</v>
      </c>
      <c r="N2291" s="1" t="s">
        <v>6190</v>
      </c>
      <c r="P2291" s="1" t="s">
        <v>4188</v>
      </c>
      <c r="Q2291" s="3">
        <v>0</v>
      </c>
      <c r="S2291" s="23" t="s">
        <v>5949</v>
      </c>
      <c r="T2291" s="23" t="s">
        <v>4931</v>
      </c>
      <c r="U2291" s="3">
        <v>34</v>
      </c>
      <c r="W2291" s="45" t="str">
        <f>HYPERLINK("http://ictvonline.org/taxonomy/p/taxonomy-history?taxnode_id=201850206","ICTVonline=201850206")</f>
        <v>ICTVonline=201850206</v>
      </c>
      <c r="AA2291" s="1">
        <v>201850000</v>
      </c>
      <c r="AB2291" s="1">
        <v>34</v>
      </c>
    </row>
    <row r="2292" spans="1:28" x14ac:dyDescent="0.15">
      <c r="A2292" s="1">
        <v>5820</v>
      </c>
      <c r="J2292" s="1" t="s">
        <v>1332</v>
      </c>
      <c r="L2292" s="1" t="s">
        <v>1333</v>
      </c>
      <c r="M2292" s="1" t="s">
        <v>4116</v>
      </c>
      <c r="N2292" s="1" t="s">
        <v>4191</v>
      </c>
      <c r="P2292" s="1" t="s">
        <v>4192</v>
      </c>
      <c r="Q2292" s="3">
        <v>1</v>
      </c>
      <c r="S2292" s="23" t="s">
        <v>5949</v>
      </c>
      <c r="W2292" s="45" t="str">
        <f>HYPERLINK("http://ictvonline.org/taxonomy/p/taxonomy-history?taxnode_id=201850220","ICTVonline=201850220")</f>
        <v>ICTVonline=201850220</v>
      </c>
      <c r="AA2292" s="1">
        <v>201850000</v>
      </c>
      <c r="AB2292" s="1">
        <v>34</v>
      </c>
    </row>
    <row r="2293" spans="1:28" x14ac:dyDescent="0.15">
      <c r="A2293" s="1">
        <v>5822</v>
      </c>
      <c r="J2293" s="1" t="s">
        <v>1332</v>
      </c>
      <c r="L2293" s="1" t="s">
        <v>1333</v>
      </c>
      <c r="M2293" s="1" t="s">
        <v>4116</v>
      </c>
      <c r="N2293" s="1" t="s">
        <v>4191</v>
      </c>
      <c r="P2293" s="1" t="s">
        <v>4193</v>
      </c>
      <c r="Q2293" s="3">
        <v>0</v>
      </c>
      <c r="S2293" s="23" t="s">
        <v>5949</v>
      </c>
      <c r="W2293" s="45" t="str">
        <f>HYPERLINK("http://ictvonline.org/taxonomy/p/taxonomy-history?taxnode_id=201850221","ICTVonline=201850221")</f>
        <v>ICTVonline=201850221</v>
      </c>
      <c r="AA2293" s="1">
        <v>201850000</v>
      </c>
      <c r="AB2293" s="1">
        <v>34</v>
      </c>
    </row>
    <row r="2294" spans="1:28" x14ac:dyDescent="0.15">
      <c r="A2294" s="1">
        <v>5824</v>
      </c>
      <c r="J2294" s="1" t="s">
        <v>1332</v>
      </c>
      <c r="L2294" s="1" t="s">
        <v>1333</v>
      </c>
      <c r="M2294" s="1" t="s">
        <v>4116</v>
      </c>
      <c r="N2294" s="1" t="s">
        <v>4191</v>
      </c>
      <c r="P2294" s="1" t="s">
        <v>6191</v>
      </c>
      <c r="Q2294" s="3">
        <v>0</v>
      </c>
      <c r="S2294" s="23" t="s">
        <v>5949</v>
      </c>
      <c r="T2294" s="23" t="s">
        <v>4929</v>
      </c>
      <c r="U2294" s="3">
        <v>34</v>
      </c>
      <c r="V2294" s="3" t="s">
        <v>6181</v>
      </c>
      <c r="W2294" s="45" t="str">
        <f>HYPERLINK("http://ictvonline.org/taxonomy/p/taxonomy-history?taxnode_id=201857011","ICTVonline=201857011")</f>
        <v>ICTVonline=201857011</v>
      </c>
      <c r="AA2294" s="1">
        <v>201850000</v>
      </c>
      <c r="AB2294" s="1">
        <v>34</v>
      </c>
    </row>
    <row r="2295" spans="1:28" x14ac:dyDescent="0.15">
      <c r="A2295" s="1">
        <v>5826</v>
      </c>
      <c r="J2295" s="1" t="s">
        <v>1332</v>
      </c>
      <c r="L2295" s="1" t="s">
        <v>1333</v>
      </c>
      <c r="M2295" s="1" t="s">
        <v>4116</v>
      </c>
      <c r="N2295" s="1" t="s">
        <v>4191</v>
      </c>
      <c r="P2295" s="1" t="s">
        <v>6192</v>
      </c>
      <c r="Q2295" s="3">
        <v>0</v>
      </c>
      <c r="S2295" s="23" t="s">
        <v>5949</v>
      </c>
      <c r="T2295" s="23" t="s">
        <v>4929</v>
      </c>
      <c r="U2295" s="3">
        <v>34</v>
      </c>
      <c r="V2295" s="3" t="s">
        <v>6181</v>
      </c>
      <c r="W2295" s="45" t="str">
        <f>HYPERLINK("http://ictvonline.org/taxonomy/p/taxonomy-history?taxnode_id=201857012","ICTVonline=201857012")</f>
        <v>ICTVonline=201857012</v>
      </c>
      <c r="AA2295" s="1">
        <v>201850000</v>
      </c>
      <c r="AB2295" s="1">
        <v>34</v>
      </c>
    </row>
    <row r="2296" spans="1:28" x14ac:dyDescent="0.15">
      <c r="A2296" s="1">
        <v>5828</v>
      </c>
      <c r="J2296" s="1" t="s">
        <v>1332</v>
      </c>
      <c r="L2296" s="1" t="s">
        <v>1333</v>
      </c>
      <c r="M2296" s="1" t="s">
        <v>4116</v>
      </c>
      <c r="N2296" s="1" t="s">
        <v>4191</v>
      </c>
      <c r="P2296" s="1" t="s">
        <v>6193</v>
      </c>
      <c r="Q2296" s="3">
        <v>0</v>
      </c>
      <c r="S2296" s="23" t="s">
        <v>5949</v>
      </c>
      <c r="T2296" s="23" t="s">
        <v>4929</v>
      </c>
      <c r="U2296" s="3">
        <v>34</v>
      </c>
      <c r="V2296" s="3" t="s">
        <v>6181</v>
      </c>
      <c r="W2296" s="45" t="str">
        <f>HYPERLINK("http://ictvonline.org/taxonomy/p/taxonomy-history?taxnode_id=201857013","ICTVonline=201857013")</f>
        <v>ICTVonline=201857013</v>
      </c>
      <c r="AA2296" s="1">
        <v>201850000</v>
      </c>
      <c r="AB2296" s="1">
        <v>34</v>
      </c>
    </row>
    <row r="2297" spans="1:28" x14ac:dyDescent="0.15">
      <c r="A2297" s="1">
        <v>5832</v>
      </c>
      <c r="J2297" s="1" t="s">
        <v>1332</v>
      </c>
      <c r="L2297" s="1" t="s">
        <v>1333</v>
      </c>
      <c r="M2297" s="1" t="s">
        <v>4116</v>
      </c>
      <c r="N2297" s="1" t="s">
        <v>4194</v>
      </c>
      <c r="P2297" s="1" t="s">
        <v>4195</v>
      </c>
      <c r="Q2297" s="3">
        <v>1</v>
      </c>
      <c r="S2297" s="23" t="s">
        <v>5949</v>
      </c>
      <c r="W2297" s="45" t="str">
        <f>HYPERLINK("http://ictvonline.org/taxonomy/p/taxonomy-history?taxnode_id=201850223","ICTVonline=201850223")</f>
        <v>ICTVonline=201850223</v>
      </c>
      <c r="AA2297" s="1">
        <v>201850000</v>
      </c>
      <c r="AB2297" s="1">
        <v>34</v>
      </c>
    </row>
    <row r="2298" spans="1:28" x14ac:dyDescent="0.15">
      <c r="A2298" s="1">
        <v>5834</v>
      </c>
      <c r="J2298" s="1" t="s">
        <v>1332</v>
      </c>
      <c r="L2298" s="1" t="s">
        <v>1333</v>
      </c>
      <c r="M2298" s="1" t="s">
        <v>4116</v>
      </c>
      <c r="N2298" s="1" t="s">
        <v>4194</v>
      </c>
      <c r="P2298" s="1" t="s">
        <v>4196</v>
      </c>
      <c r="Q2298" s="3">
        <v>0</v>
      </c>
      <c r="S2298" s="23" t="s">
        <v>5949</v>
      </c>
      <c r="W2298" s="45" t="str">
        <f>HYPERLINK("http://ictvonline.org/taxonomy/p/taxonomy-history?taxnode_id=201850224","ICTVonline=201850224")</f>
        <v>ICTVonline=201850224</v>
      </c>
      <c r="AA2298" s="1">
        <v>201850000</v>
      </c>
      <c r="AB2298" s="1">
        <v>34</v>
      </c>
    </row>
    <row r="2299" spans="1:28" x14ac:dyDescent="0.15">
      <c r="A2299" s="1">
        <v>5840</v>
      </c>
      <c r="J2299" s="1" t="s">
        <v>1332</v>
      </c>
      <c r="L2299" s="1" t="s">
        <v>1333</v>
      </c>
      <c r="M2299" s="1" t="s">
        <v>1341</v>
      </c>
      <c r="N2299" s="1" t="s">
        <v>6194</v>
      </c>
      <c r="P2299" s="1" t="s">
        <v>2760</v>
      </c>
      <c r="Q2299" s="3">
        <v>0</v>
      </c>
      <c r="S2299" s="23" t="s">
        <v>5949</v>
      </c>
      <c r="T2299" s="23" t="s">
        <v>4931</v>
      </c>
      <c r="U2299" s="3">
        <v>34</v>
      </c>
      <c r="W2299" s="45" t="str">
        <f>HYPERLINK("http://ictvonline.org/taxonomy/p/taxonomy-history?taxnode_id=201850227","ICTVonline=201850227")</f>
        <v>ICTVonline=201850227</v>
      </c>
      <c r="AA2299" s="1">
        <v>201850000</v>
      </c>
      <c r="AB2299" s="1">
        <v>34</v>
      </c>
    </row>
    <row r="2300" spans="1:28" x14ac:dyDescent="0.15">
      <c r="A2300" s="1">
        <v>5842</v>
      </c>
      <c r="J2300" s="1" t="s">
        <v>1332</v>
      </c>
      <c r="L2300" s="1" t="s">
        <v>1333</v>
      </c>
      <c r="M2300" s="1" t="s">
        <v>1341</v>
      </c>
      <c r="N2300" s="1" t="s">
        <v>6194</v>
      </c>
      <c r="P2300" s="1" t="s">
        <v>2761</v>
      </c>
      <c r="Q2300" s="3">
        <v>1</v>
      </c>
      <c r="S2300" s="23" t="s">
        <v>5949</v>
      </c>
      <c r="T2300" s="23" t="s">
        <v>4931</v>
      </c>
      <c r="U2300" s="3">
        <v>34</v>
      </c>
      <c r="W2300" s="45" t="str">
        <f>HYPERLINK("http://ictvonline.org/taxonomy/p/taxonomy-history?taxnode_id=201850228","ICTVonline=201850228")</f>
        <v>ICTVonline=201850228</v>
      </c>
      <c r="AA2300" s="1">
        <v>201850000</v>
      </c>
      <c r="AB2300" s="1">
        <v>34</v>
      </c>
    </row>
    <row r="2301" spans="1:28" x14ac:dyDescent="0.15">
      <c r="A2301" s="1">
        <v>5844</v>
      </c>
      <c r="J2301" s="1" t="s">
        <v>1332</v>
      </c>
      <c r="L2301" s="1" t="s">
        <v>1333</v>
      </c>
      <c r="M2301" s="1" t="s">
        <v>1341</v>
      </c>
      <c r="N2301" s="1" t="s">
        <v>6194</v>
      </c>
      <c r="P2301" s="1" t="s">
        <v>2762</v>
      </c>
      <c r="Q2301" s="3">
        <v>0</v>
      </c>
      <c r="S2301" s="23" t="s">
        <v>5949</v>
      </c>
      <c r="T2301" s="23" t="s">
        <v>4931</v>
      </c>
      <c r="U2301" s="3">
        <v>34</v>
      </c>
      <c r="W2301" s="45" t="str">
        <f>HYPERLINK("http://ictvonline.org/taxonomy/p/taxonomy-history?taxnode_id=201850229","ICTVonline=201850229")</f>
        <v>ICTVonline=201850229</v>
      </c>
      <c r="AA2301" s="1">
        <v>201850000</v>
      </c>
      <c r="AB2301" s="1">
        <v>34</v>
      </c>
    </row>
    <row r="2302" spans="1:28" x14ac:dyDescent="0.15">
      <c r="A2302" s="1">
        <v>5846</v>
      </c>
      <c r="J2302" s="1" t="s">
        <v>1332</v>
      </c>
      <c r="L2302" s="1" t="s">
        <v>1333</v>
      </c>
      <c r="M2302" s="1" t="s">
        <v>1341</v>
      </c>
      <c r="N2302" s="1" t="s">
        <v>6194</v>
      </c>
      <c r="P2302" s="1" t="s">
        <v>2763</v>
      </c>
      <c r="Q2302" s="3">
        <v>0</v>
      </c>
      <c r="S2302" s="23" t="s">
        <v>5949</v>
      </c>
      <c r="T2302" s="23" t="s">
        <v>4931</v>
      </c>
      <c r="U2302" s="3">
        <v>34</v>
      </c>
      <c r="W2302" s="45" t="str">
        <f>HYPERLINK("http://ictvonline.org/taxonomy/p/taxonomy-history?taxnode_id=201850230","ICTVonline=201850230")</f>
        <v>ICTVonline=201850230</v>
      </c>
      <c r="AA2302" s="1">
        <v>201850000</v>
      </c>
      <c r="AB2302" s="1">
        <v>34</v>
      </c>
    </row>
    <row r="2303" spans="1:28" x14ac:dyDescent="0.15">
      <c r="A2303" s="1">
        <v>5848</v>
      </c>
      <c r="J2303" s="1" t="s">
        <v>1332</v>
      </c>
      <c r="L2303" s="1" t="s">
        <v>1333</v>
      </c>
      <c r="M2303" s="1" t="s">
        <v>1341</v>
      </c>
      <c r="N2303" s="1" t="s">
        <v>6194</v>
      </c>
      <c r="P2303" s="1" t="s">
        <v>2764</v>
      </c>
      <c r="Q2303" s="3">
        <v>0</v>
      </c>
      <c r="S2303" s="23" t="s">
        <v>5949</v>
      </c>
      <c r="T2303" s="23" t="s">
        <v>4931</v>
      </c>
      <c r="U2303" s="3">
        <v>34</v>
      </c>
      <c r="W2303" s="45" t="str">
        <f>HYPERLINK("http://ictvonline.org/taxonomy/p/taxonomy-history?taxnode_id=201850231","ICTVonline=201850231")</f>
        <v>ICTVonline=201850231</v>
      </c>
      <c r="AA2303" s="1">
        <v>201850000</v>
      </c>
      <c r="AB2303" s="1">
        <v>34</v>
      </c>
    </row>
    <row r="2304" spans="1:28" x14ac:dyDescent="0.15">
      <c r="A2304" s="1">
        <v>5850</v>
      </c>
      <c r="J2304" s="1" t="s">
        <v>1332</v>
      </c>
      <c r="L2304" s="1" t="s">
        <v>1333</v>
      </c>
      <c r="M2304" s="1" t="s">
        <v>1341</v>
      </c>
      <c r="N2304" s="1" t="s">
        <v>6194</v>
      </c>
      <c r="P2304" s="1" t="s">
        <v>2765</v>
      </c>
      <c r="Q2304" s="3">
        <v>0</v>
      </c>
      <c r="S2304" s="23" t="s">
        <v>5949</v>
      </c>
      <c r="T2304" s="23" t="s">
        <v>4931</v>
      </c>
      <c r="U2304" s="3">
        <v>34</v>
      </c>
      <c r="W2304" s="45" t="str">
        <f>HYPERLINK("http://ictvonline.org/taxonomy/p/taxonomy-history?taxnode_id=201850232","ICTVonline=201850232")</f>
        <v>ICTVonline=201850232</v>
      </c>
      <c r="AA2304" s="1">
        <v>201850000</v>
      </c>
      <c r="AB2304" s="1">
        <v>34</v>
      </c>
    </row>
    <row r="2305" spans="1:28" x14ac:dyDescent="0.15">
      <c r="A2305" s="1">
        <v>5854</v>
      </c>
      <c r="J2305" s="1" t="s">
        <v>1332</v>
      </c>
      <c r="L2305" s="1" t="s">
        <v>1333</v>
      </c>
      <c r="M2305" s="1" t="s">
        <v>1341</v>
      </c>
      <c r="N2305" s="1" t="s">
        <v>6195</v>
      </c>
      <c r="P2305" s="1" t="s">
        <v>2766</v>
      </c>
      <c r="Q2305" s="3">
        <v>0</v>
      </c>
      <c r="S2305" s="23" t="s">
        <v>5949</v>
      </c>
      <c r="T2305" s="23" t="s">
        <v>4931</v>
      </c>
      <c r="U2305" s="3">
        <v>34</v>
      </c>
      <c r="W2305" s="45" t="str">
        <f>HYPERLINK("http://ictvonline.org/taxonomy/p/taxonomy-history?taxnode_id=201850234","ICTVonline=201850234")</f>
        <v>ICTVonline=201850234</v>
      </c>
      <c r="AA2305" s="1">
        <v>201850000</v>
      </c>
      <c r="AB2305" s="1">
        <v>34</v>
      </c>
    </row>
    <row r="2306" spans="1:28" x14ac:dyDescent="0.15">
      <c r="A2306" s="1">
        <v>5856</v>
      </c>
      <c r="J2306" s="1" t="s">
        <v>1332</v>
      </c>
      <c r="L2306" s="1" t="s">
        <v>1333</v>
      </c>
      <c r="M2306" s="1" t="s">
        <v>1341</v>
      </c>
      <c r="N2306" s="1" t="s">
        <v>6195</v>
      </c>
      <c r="P2306" s="1" t="s">
        <v>2767</v>
      </c>
      <c r="Q2306" s="3">
        <v>0</v>
      </c>
      <c r="S2306" s="23" t="s">
        <v>5949</v>
      </c>
      <c r="T2306" s="23" t="s">
        <v>4931</v>
      </c>
      <c r="U2306" s="3">
        <v>34</v>
      </c>
      <c r="W2306" s="45" t="str">
        <f>HYPERLINK("http://ictvonline.org/taxonomy/p/taxonomy-history?taxnode_id=201850235","ICTVonline=201850235")</f>
        <v>ICTVonline=201850235</v>
      </c>
      <c r="AA2306" s="1">
        <v>201850000</v>
      </c>
      <c r="AB2306" s="1">
        <v>34</v>
      </c>
    </row>
    <row r="2307" spans="1:28" x14ac:dyDescent="0.15">
      <c r="A2307" s="1">
        <v>5858</v>
      </c>
      <c r="J2307" s="1" t="s">
        <v>1332</v>
      </c>
      <c r="L2307" s="1" t="s">
        <v>1333</v>
      </c>
      <c r="M2307" s="1" t="s">
        <v>1341</v>
      </c>
      <c r="N2307" s="1" t="s">
        <v>6195</v>
      </c>
      <c r="P2307" s="1" t="s">
        <v>2768</v>
      </c>
      <c r="Q2307" s="3">
        <v>0</v>
      </c>
      <c r="S2307" s="23" t="s">
        <v>5949</v>
      </c>
      <c r="T2307" s="23" t="s">
        <v>4931</v>
      </c>
      <c r="U2307" s="3">
        <v>34</v>
      </c>
      <c r="W2307" s="45" t="str">
        <f>HYPERLINK("http://ictvonline.org/taxonomy/p/taxonomy-history?taxnode_id=201850236","ICTVonline=201850236")</f>
        <v>ICTVonline=201850236</v>
      </c>
      <c r="AA2307" s="1">
        <v>201850000</v>
      </c>
      <c r="AB2307" s="1">
        <v>34</v>
      </c>
    </row>
    <row r="2308" spans="1:28" x14ac:dyDescent="0.15">
      <c r="A2308" s="1">
        <v>5860</v>
      </c>
      <c r="J2308" s="1" t="s">
        <v>1332</v>
      </c>
      <c r="L2308" s="1" t="s">
        <v>1333</v>
      </c>
      <c r="M2308" s="1" t="s">
        <v>1341</v>
      </c>
      <c r="N2308" s="1" t="s">
        <v>6195</v>
      </c>
      <c r="P2308" s="1" t="s">
        <v>2769</v>
      </c>
      <c r="Q2308" s="3">
        <v>0</v>
      </c>
      <c r="S2308" s="23" t="s">
        <v>5949</v>
      </c>
      <c r="T2308" s="23" t="s">
        <v>4931</v>
      </c>
      <c r="U2308" s="3">
        <v>34</v>
      </c>
      <c r="W2308" s="45" t="str">
        <f>HYPERLINK("http://ictvonline.org/taxonomy/p/taxonomy-history?taxnode_id=201850237","ICTVonline=201850237")</f>
        <v>ICTVonline=201850237</v>
      </c>
      <c r="AA2308" s="1">
        <v>201850000</v>
      </c>
      <c r="AB2308" s="1">
        <v>34</v>
      </c>
    </row>
    <row r="2309" spans="1:28" x14ac:dyDescent="0.15">
      <c r="A2309" s="1">
        <v>5862</v>
      </c>
      <c r="J2309" s="1" t="s">
        <v>1332</v>
      </c>
      <c r="L2309" s="1" t="s">
        <v>1333</v>
      </c>
      <c r="M2309" s="1" t="s">
        <v>1341</v>
      </c>
      <c r="N2309" s="1" t="s">
        <v>6195</v>
      </c>
      <c r="P2309" s="1" t="s">
        <v>6196</v>
      </c>
      <c r="Q2309" s="3">
        <v>0</v>
      </c>
      <c r="S2309" s="23" t="s">
        <v>5949</v>
      </c>
      <c r="T2309" s="23" t="s">
        <v>4929</v>
      </c>
      <c r="U2309" s="3">
        <v>34</v>
      </c>
      <c r="V2309" s="3" t="s">
        <v>6181</v>
      </c>
      <c r="W2309" s="45" t="str">
        <f>HYPERLINK("http://ictvonline.org/taxonomy/p/taxonomy-history?taxnode_id=201857028","ICTVonline=201857028")</f>
        <v>ICTVonline=201857028</v>
      </c>
      <c r="AA2309" s="1">
        <v>201850000</v>
      </c>
      <c r="AB2309" s="1">
        <v>34</v>
      </c>
    </row>
    <row r="2310" spans="1:28" x14ac:dyDescent="0.15">
      <c r="A2310" s="1">
        <v>5864</v>
      </c>
      <c r="J2310" s="1" t="s">
        <v>1332</v>
      </c>
      <c r="L2310" s="1" t="s">
        <v>1333</v>
      </c>
      <c r="M2310" s="1" t="s">
        <v>1341</v>
      </c>
      <c r="N2310" s="1" t="s">
        <v>6195</v>
      </c>
      <c r="P2310" s="1" t="s">
        <v>2770</v>
      </c>
      <c r="Q2310" s="3">
        <v>1</v>
      </c>
      <c r="S2310" s="23" t="s">
        <v>5949</v>
      </c>
      <c r="T2310" s="23" t="s">
        <v>4931</v>
      </c>
      <c r="U2310" s="3">
        <v>34</v>
      </c>
      <c r="W2310" s="45" t="str">
        <f>HYPERLINK("http://ictvonline.org/taxonomy/p/taxonomy-history?taxnode_id=201850238","ICTVonline=201850238")</f>
        <v>ICTVonline=201850238</v>
      </c>
      <c r="AA2310" s="1">
        <v>201850000</v>
      </c>
      <c r="AB2310" s="1">
        <v>34</v>
      </c>
    </row>
    <row r="2311" spans="1:28" x14ac:dyDescent="0.15">
      <c r="A2311" s="1">
        <v>5866</v>
      </c>
      <c r="J2311" s="1" t="s">
        <v>1332</v>
      </c>
      <c r="L2311" s="1" t="s">
        <v>1333</v>
      </c>
      <c r="M2311" s="1" t="s">
        <v>1341</v>
      </c>
      <c r="N2311" s="1" t="s">
        <v>6195</v>
      </c>
      <c r="P2311" s="1" t="s">
        <v>6197</v>
      </c>
      <c r="Q2311" s="3">
        <v>0</v>
      </c>
      <c r="S2311" s="23" t="s">
        <v>5949</v>
      </c>
      <c r="T2311" s="23" t="s">
        <v>4929</v>
      </c>
      <c r="U2311" s="3">
        <v>34</v>
      </c>
      <c r="V2311" s="3" t="s">
        <v>6181</v>
      </c>
      <c r="W2311" s="45" t="str">
        <f>HYPERLINK("http://ictvonline.org/taxonomy/p/taxonomy-history?taxnode_id=201857029","ICTVonline=201857029")</f>
        <v>ICTVonline=201857029</v>
      </c>
      <c r="AA2311" s="1">
        <v>201850000</v>
      </c>
      <c r="AB2311" s="1">
        <v>34</v>
      </c>
    </row>
    <row r="2312" spans="1:28" x14ac:dyDescent="0.15">
      <c r="A2312" s="1">
        <v>5868</v>
      </c>
      <c r="J2312" s="1" t="s">
        <v>1332</v>
      </c>
      <c r="L2312" s="1" t="s">
        <v>1333</v>
      </c>
      <c r="M2312" s="1" t="s">
        <v>1341</v>
      </c>
      <c r="N2312" s="1" t="s">
        <v>6195</v>
      </c>
      <c r="P2312" s="1" t="s">
        <v>6198</v>
      </c>
      <c r="Q2312" s="3">
        <v>0</v>
      </c>
      <c r="S2312" s="23" t="s">
        <v>5949</v>
      </c>
      <c r="T2312" s="23" t="s">
        <v>4929</v>
      </c>
      <c r="U2312" s="3">
        <v>34</v>
      </c>
      <c r="V2312" s="3" t="s">
        <v>6181</v>
      </c>
      <c r="W2312" s="45" t="str">
        <f>HYPERLINK("http://ictvonline.org/taxonomy/p/taxonomy-history?taxnode_id=201857030","ICTVonline=201857030")</f>
        <v>ICTVonline=201857030</v>
      </c>
      <c r="AA2312" s="1">
        <v>201850000</v>
      </c>
      <c r="AB2312" s="1">
        <v>34</v>
      </c>
    </row>
    <row r="2313" spans="1:28" x14ac:dyDescent="0.15">
      <c r="A2313" s="1">
        <v>5870</v>
      </c>
      <c r="J2313" s="1" t="s">
        <v>1332</v>
      </c>
      <c r="L2313" s="1" t="s">
        <v>1333</v>
      </c>
      <c r="M2313" s="1" t="s">
        <v>1341</v>
      </c>
      <c r="N2313" s="1" t="s">
        <v>6195</v>
      </c>
      <c r="P2313" s="1" t="s">
        <v>2771</v>
      </c>
      <c r="Q2313" s="3">
        <v>0</v>
      </c>
      <c r="S2313" s="23" t="s">
        <v>5949</v>
      </c>
      <c r="T2313" s="23" t="s">
        <v>4931</v>
      </c>
      <c r="U2313" s="3">
        <v>34</v>
      </c>
      <c r="W2313" s="45" t="str">
        <f>HYPERLINK("http://ictvonline.org/taxonomy/p/taxonomy-history?taxnode_id=201850239","ICTVonline=201850239")</f>
        <v>ICTVonline=201850239</v>
      </c>
      <c r="AA2313" s="1">
        <v>201850000</v>
      </c>
      <c r="AB2313" s="1">
        <v>34</v>
      </c>
    </row>
    <row r="2314" spans="1:28" x14ac:dyDescent="0.15">
      <c r="A2314" s="1">
        <v>5872</v>
      </c>
      <c r="J2314" s="1" t="s">
        <v>1332</v>
      </c>
      <c r="L2314" s="1" t="s">
        <v>1333</v>
      </c>
      <c r="M2314" s="1" t="s">
        <v>1341</v>
      </c>
      <c r="N2314" s="1" t="s">
        <v>6195</v>
      </c>
      <c r="P2314" s="1" t="s">
        <v>4932</v>
      </c>
      <c r="Q2314" s="3">
        <v>0</v>
      </c>
      <c r="S2314" s="23" t="s">
        <v>5949</v>
      </c>
      <c r="T2314" s="23" t="s">
        <v>4931</v>
      </c>
      <c r="U2314" s="3">
        <v>34</v>
      </c>
      <c r="W2314" s="45" t="str">
        <f>HYPERLINK("http://ictvonline.org/taxonomy/p/taxonomy-history?taxnode_id=201850240","ICTVonline=201850240")</f>
        <v>ICTVonline=201850240</v>
      </c>
      <c r="AA2314" s="1">
        <v>201850000</v>
      </c>
      <c r="AB2314" s="1">
        <v>34</v>
      </c>
    </row>
    <row r="2315" spans="1:28" x14ac:dyDescent="0.15">
      <c r="A2315" s="1">
        <v>5874</v>
      </c>
      <c r="J2315" s="1" t="s">
        <v>1332</v>
      </c>
      <c r="L2315" s="1" t="s">
        <v>1333</v>
      </c>
      <c r="M2315" s="1" t="s">
        <v>1341</v>
      </c>
      <c r="N2315" s="1" t="s">
        <v>6195</v>
      </c>
      <c r="P2315" s="1" t="s">
        <v>2772</v>
      </c>
      <c r="Q2315" s="3">
        <v>0</v>
      </c>
      <c r="S2315" s="23" t="s">
        <v>5949</v>
      </c>
      <c r="T2315" s="23" t="s">
        <v>4931</v>
      </c>
      <c r="U2315" s="3">
        <v>34</v>
      </c>
      <c r="W2315" s="45" t="str">
        <f>HYPERLINK("http://ictvonline.org/taxonomy/p/taxonomy-history?taxnode_id=201850241","ICTVonline=201850241")</f>
        <v>ICTVonline=201850241</v>
      </c>
      <c r="AA2315" s="1">
        <v>201850000</v>
      </c>
      <c r="AB2315" s="1">
        <v>34</v>
      </c>
    </row>
    <row r="2316" spans="1:28" x14ac:dyDescent="0.15">
      <c r="A2316" s="1">
        <v>5876</v>
      </c>
      <c r="J2316" s="1" t="s">
        <v>1332</v>
      </c>
      <c r="L2316" s="1" t="s">
        <v>1333</v>
      </c>
      <c r="M2316" s="1" t="s">
        <v>1341</v>
      </c>
      <c r="N2316" s="1" t="s">
        <v>6195</v>
      </c>
      <c r="P2316" s="1" t="s">
        <v>2773</v>
      </c>
      <c r="Q2316" s="3">
        <v>0</v>
      </c>
      <c r="S2316" s="23" t="s">
        <v>5949</v>
      </c>
      <c r="T2316" s="23" t="s">
        <v>4931</v>
      </c>
      <c r="U2316" s="3">
        <v>34</v>
      </c>
      <c r="W2316" s="45" t="str">
        <f>HYPERLINK("http://ictvonline.org/taxonomy/p/taxonomy-history?taxnode_id=201850242","ICTVonline=201850242")</f>
        <v>ICTVonline=201850242</v>
      </c>
      <c r="AA2316" s="1">
        <v>201850000</v>
      </c>
      <c r="AB2316" s="1">
        <v>34</v>
      </c>
    </row>
    <row r="2317" spans="1:28" x14ac:dyDescent="0.15">
      <c r="A2317" s="1">
        <v>5878</v>
      </c>
      <c r="J2317" s="1" t="s">
        <v>1332</v>
      </c>
      <c r="L2317" s="1" t="s">
        <v>1333</v>
      </c>
      <c r="M2317" s="1" t="s">
        <v>1341</v>
      </c>
      <c r="N2317" s="1" t="s">
        <v>6195</v>
      </c>
      <c r="P2317" s="1" t="s">
        <v>2774</v>
      </c>
      <c r="Q2317" s="3">
        <v>0</v>
      </c>
      <c r="S2317" s="23" t="s">
        <v>5949</v>
      </c>
      <c r="T2317" s="23" t="s">
        <v>4931</v>
      </c>
      <c r="U2317" s="3">
        <v>34</v>
      </c>
      <c r="W2317" s="45" t="str">
        <f>HYPERLINK("http://ictvonline.org/taxonomy/p/taxonomy-history?taxnode_id=201850243","ICTVonline=201850243")</f>
        <v>ICTVonline=201850243</v>
      </c>
      <c r="AA2317" s="1">
        <v>201850000</v>
      </c>
      <c r="AB2317" s="1">
        <v>34</v>
      </c>
    </row>
    <row r="2318" spans="1:28" x14ac:dyDescent="0.15">
      <c r="A2318" s="1">
        <v>5880</v>
      </c>
      <c r="J2318" s="1" t="s">
        <v>1332</v>
      </c>
      <c r="L2318" s="1" t="s">
        <v>1333</v>
      </c>
      <c r="M2318" s="1" t="s">
        <v>1341</v>
      </c>
      <c r="N2318" s="1" t="s">
        <v>6195</v>
      </c>
      <c r="P2318" s="1" t="s">
        <v>6199</v>
      </c>
      <c r="Q2318" s="3">
        <v>0</v>
      </c>
      <c r="S2318" s="23" t="s">
        <v>5949</v>
      </c>
      <c r="T2318" s="23" t="s">
        <v>4929</v>
      </c>
      <c r="U2318" s="3">
        <v>34</v>
      </c>
      <c r="V2318" s="3" t="s">
        <v>6181</v>
      </c>
      <c r="W2318" s="45" t="str">
        <f>HYPERLINK("http://ictvonline.org/taxonomy/p/taxonomy-history?taxnode_id=201857031","ICTVonline=201857031")</f>
        <v>ICTVonline=201857031</v>
      </c>
      <c r="AA2318" s="1">
        <v>201850000</v>
      </c>
      <c r="AB2318" s="1">
        <v>34</v>
      </c>
    </row>
    <row r="2319" spans="1:28" x14ac:dyDescent="0.15">
      <c r="A2319" s="1">
        <v>5882</v>
      </c>
      <c r="J2319" s="1" t="s">
        <v>1332</v>
      </c>
      <c r="L2319" s="1" t="s">
        <v>1333</v>
      </c>
      <c r="M2319" s="1" t="s">
        <v>1341</v>
      </c>
      <c r="N2319" s="1" t="s">
        <v>6195</v>
      </c>
      <c r="P2319" s="1" t="s">
        <v>2775</v>
      </c>
      <c r="Q2319" s="3">
        <v>0</v>
      </c>
      <c r="S2319" s="23" t="s">
        <v>5949</v>
      </c>
      <c r="T2319" s="23" t="s">
        <v>4931</v>
      </c>
      <c r="U2319" s="3">
        <v>34</v>
      </c>
      <c r="W2319" s="45" t="str">
        <f>HYPERLINK("http://ictvonline.org/taxonomy/p/taxonomy-history?taxnode_id=201850244","ICTVonline=201850244")</f>
        <v>ICTVonline=201850244</v>
      </c>
      <c r="AA2319" s="1">
        <v>201850000</v>
      </c>
      <c r="AB2319" s="1">
        <v>34</v>
      </c>
    </row>
    <row r="2320" spans="1:28" x14ac:dyDescent="0.15">
      <c r="A2320" s="1">
        <v>5884</v>
      </c>
      <c r="J2320" s="1" t="s">
        <v>1332</v>
      </c>
      <c r="L2320" s="1" t="s">
        <v>1333</v>
      </c>
      <c r="M2320" s="1" t="s">
        <v>1341</v>
      </c>
      <c r="N2320" s="1" t="s">
        <v>6195</v>
      </c>
      <c r="P2320" s="1" t="s">
        <v>2776</v>
      </c>
      <c r="Q2320" s="3">
        <v>0</v>
      </c>
      <c r="S2320" s="23" t="s">
        <v>5949</v>
      </c>
      <c r="T2320" s="23" t="s">
        <v>4931</v>
      </c>
      <c r="U2320" s="3">
        <v>34</v>
      </c>
      <c r="W2320" s="45" t="str">
        <f>HYPERLINK("http://ictvonline.org/taxonomy/p/taxonomy-history?taxnode_id=201850245","ICTVonline=201850245")</f>
        <v>ICTVonline=201850245</v>
      </c>
      <c r="AA2320" s="1">
        <v>201850000</v>
      </c>
      <c r="AB2320" s="1">
        <v>34</v>
      </c>
    </row>
    <row r="2321" spans="1:28" x14ac:dyDescent="0.15">
      <c r="A2321" s="1">
        <v>5886</v>
      </c>
      <c r="J2321" s="1" t="s">
        <v>1332</v>
      </c>
      <c r="L2321" s="1" t="s">
        <v>1333</v>
      </c>
      <c r="M2321" s="1" t="s">
        <v>1341</v>
      </c>
      <c r="N2321" s="1" t="s">
        <v>6195</v>
      </c>
      <c r="P2321" s="1" t="s">
        <v>2777</v>
      </c>
      <c r="Q2321" s="3">
        <v>0</v>
      </c>
      <c r="S2321" s="23" t="s">
        <v>5949</v>
      </c>
      <c r="T2321" s="23" t="s">
        <v>4931</v>
      </c>
      <c r="U2321" s="3">
        <v>34</v>
      </c>
      <c r="W2321" s="45" t="str">
        <f>HYPERLINK("http://ictvonline.org/taxonomy/p/taxonomy-history?taxnode_id=201850246","ICTVonline=201850246")</f>
        <v>ICTVonline=201850246</v>
      </c>
      <c r="AA2321" s="1">
        <v>201850000</v>
      </c>
      <c r="AB2321" s="1">
        <v>34</v>
      </c>
    </row>
    <row r="2322" spans="1:28" x14ac:dyDescent="0.15">
      <c r="A2322" s="1">
        <v>5892</v>
      </c>
      <c r="J2322" s="1" t="s">
        <v>1332</v>
      </c>
      <c r="L2322" s="1" t="s">
        <v>1333</v>
      </c>
      <c r="M2322" s="1" t="s">
        <v>1343</v>
      </c>
      <c r="N2322" s="1" t="s">
        <v>6200</v>
      </c>
      <c r="P2322" s="1" t="s">
        <v>2797</v>
      </c>
      <c r="Q2322" s="3">
        <v>0</v>
      </c>
      <c r="S2322" s="23" t="s">
        <v>5949</v>
      </c>
      <c r="T2322" s="23" t="s">
        <v>4931</v>
      </c>
      <c r="U2322" s="3">
        <v>34</v>
      </c>
      <c r="W2322" s="45" t="str">
        <f>HYPERLINK("http://ictvonline.org/taxonomy/p/taxonomy-history?taxnode_id=201850286","ICTVonline=201850286")</f>
        <v>ICTVonline=201850286</v>
      </c>
      <c r="AA2322" s="1">
        <v>201850000</v>
      </c>
      <c r="AB2322" s="1">
        <v>34</v>
      </c>
    </row>
    <row r="2323" spans="1:28" x14ac:dyDescent="0.15">
      <c r="A2323" s="1">
        <v>5894</v>
      </c>
      <c r="J2323" s="1" t="s">
        <v>1332</v>
      </c>
      <c r="L2323" s="1" t="s">
        <v>1333</v>
      </c>
      <c r="M2323" s="1" t="s">
        <v>1343</v>
      </c>
      <c r="N2323" s="1" t="s">
        <v>6200</v>
      </c>
      <c r="P2323" s="1" t="s">
        <v>2798</v>
      </c>
      <c r="Q2323" s="3">
        <v>0</v>
      </c>
      <c r="S2323" s="23" t="s">
        <v>5949</v>
      </c>
      <c r="T2323" s="23" t="s">
        <v>4931</v>
      </c>
      <c r="U2323" s="3">
        <v>34</v>
      </c>
      <c r="W2323" s="45" t="str">
        <f>HYPERLINK("http://ictvonline.org/taxonomy/p/taxonomy-history?taxnode_id=201850287","ICTVonline=201850287")</f>
        <v>ICTVonline=201850287</v>
      </c>
      <c r="AA2323" s="1">
        <v>201850000</v>
      </c>
      <c r="AB2323" s="1">
        <v>34</v>
      </c>
    </row>
    <row r="2324" spans="1:28" x14ac:dyDescent="0.15">
      <c r="A2324" s="1">
        <v>5896</v>
      </c>
      <c r="J2324" s="1" t="s">
        <v>1332</v>
      </c>
      <c r="L2324" s="1" t="s">
        <v>1333</v>
      </c>
      <c r="M2324" s="1" t="s">
        <v>1343</v>
      </c>
      <c r="N2324" s="1" t="s">
        <v>6200</v>
      </c>
      <c r="P2324" s="1" t="s">
        <v>2799</v>
      </c>
      <c r="Q2324" s="3">
        <v>0</v>
      </c>
      <c r="S2324" s="23" t="s">
        <v>5949</v>
      </c>
      <c r="T2324" s="23" t="s">
        <v>4931</v>
      </c>
      <c r="U2324" s="3">
        <v>34</v>
      </c>
      <c r="W2324" s="45" t="str">
        <f>HYPERLINK("http://ictvonline.org/taxonomy/p/taxonomy-history?taxnode_id=201850288","ICTVonline=201850288")</f>
        <v>ICTVonline=201850288</v>
      </c>
      <c r="AA2324" s="1">
        <v>201850000</v>
      </c>
      <c r="AB2324" s="1">
        <v>34</v>
      </c>
    </row>
    <row r="2325" spans="1:28" x14ac:dyDescent="0.15">
      <c r="A2325" s="1">
        <v>5898</v>
      </c>
      <c r="J2325" s="1" t="s">
        <v>1332</v>
      </c>
      <c r="L2325" s="1" t="s">
        <v>1333</v>
      </c>
      <c r="M2325" s="1" t="s">
        <v>1343</v>
      </c>
      <c r="N2325" s="1" t="s">
        <v>6200</v>
      </c>
      <c r="P2325" s="1" t="s">
        <v>2800</v>
      </c>
      <c r="Q2325" s="3">
        <v>1</v>
      </c>
      <c r="S2325" s="23" t="s">
        <v>5949</v>
      </c>
      <c r="T2325" s="23" t="s">
        <v>4931</v>
      </c>
      <c r="U2325" s="3">
        <v>34</v>
      </c>
      <c r="W2325" s="45" t="str">
        <f>HYPERLINK("http://ictvonline.org/taxonomy/p/taxonomy-history?taxnode_id=201850289","ICTVonline=201850289")</f>
        <v>ICTVonline=201850289</v>
      </c>
      <c r="AA2325" s="1">
        <v>201850000</v>
      </c>
      <c r="AB2325" s="1">
        <v>34</v>
      </c>
    </row>
    <row r="2326" spans="1:28" x14ac:dyDescent="0.15">
      <c r="A2326" s="1">
        <v>5900</v>
      </c>
      <c r="J2326" s="1" t="s">
        <v>1332</v>
      </c>
      <c r="L2326" s="1" t="s">
        <v>1333</v>
      </c>
      <c r="M2326" s="1" t="s">
        <v>1343</v>
      </c>
      <c r="N2326" s="1" t="s">
        <v>6200</v>
      </c>
      <c r="P2326" s="1" t="s">
        <v>6201</v>
      </c>
      <c r="Q2326" s="3">
        <v>0</v>
      </c>
      <c r="S2326" s="23" t="s">
        <v>5949</v>
      </c>
      <c r="T2326" s="23" t="s">
        <v>4929</v>
      </c>
      <c r="U2326" s="3">
        <v>34</v>
      </c>
      <c r="V2326" s="3" t="s">
        <v>6181</v>
      </c>
      <c r="W2326" s="45" t="str">
        <f>HYPERLINK("http://ictvonline.org/taxonomy/p/taxonomy-history?taxnode_id=201857034","ICTVonline=201857034")</f>
        <v>ICTVonline=201857034</v>
      </c>
      <c r="AA2326" s="1">
        <v>201850000</v>
      </c>
      <c r="AB2326" s="1">
        <v>34</v>
      </c>
    </row>
    <row r="2327" spans="1:28" x14ac:dyDescent="0.15">
      <c r="A2327" s="1">
        <v>5902</v>
      </c>
      <c r="J2327" s="1" t="s">
        <v>1332</v>
      </c>
      <c r="L2327" s="1" t="s">
        <v>1333</v>
      </c>
      <c r="M2327" s="1" t="s">
        <v>1343</v>
      </c>
      <c r="N2327" s="1" t="s">
        <v>6200</v>
      </c>
      <c r="P2327" s="1" t="s">
        <v>4206</v>
      </c>
      <c r="Q2327" s="3">
        <v>0</v>
      </c>
      <c r="S2327" s="23" t="s">
        <v>5949</v>
      </c>
      <c r="T2327" s="23" t="s">
        <v>4931</v>
      </c>
      <c r="U2327" s="3">
        <v>34</v>
      </c>
      <c r="W2327" s="45" t="str">
        <f>HYPERLINK("http://ictvonline.org/taxonomy/p/taxonomy-history?taxnode_id=201850290","ICTVonline=201850290")</f>
        <v>ICTVonline=201850290</v>
      </c>
      <c r="AA2327" s="1">
        <v>201850000</v>
      </c>
      <c r="AB2327" s="1">
        <v>34</v>
      </c>
    </row>
    <row r="2328" spans="1:28" x14ac:dyDescent="0.15">
      <c r="A2328" s="1">
        <v>5904</v>
      </c>
      <c r="J2328" s="1" t="s">
        <v>1332</v>
      </c>
      <c r="L2328" s="1" t="s">
        <v>1333</v>
      </c>
      <c r="M2328" s="1" t="s">
        <v>1343</v>
      </c>
      <c r="N2328" s="1" t="s">
        <v>6200</v>
      </c>
      <c r="P2328" s="1" t="s">
        <v>2801</v>
      </c>
      <c r="Q2328" s="3">
        <v>0</v>
      </c>
      <c r="S2328" s="23" t="s">
        <v>5949</v>
      </c>
      <c r="T2328" s="23" t="s">
        <v>4931</v>
      </c>
      <c r="U2328" s="3">
        <v>34</v>
      </c>
      <c r="W2328" s="45" t="str">
        <f>HYPERLINK("http://ictvonline.org/taxonomy/p/taxonomy-history?taxnode_id=201850291","ICTVonline=201850291")</f>
        <v>ICTVonline=201850291</v>
      </c>
      <c r="AA2328" s="1">
        <v>201850000</v>
      </c>
      <c r="AB2328" s="1">
        <v>34</v>
      </c>
    </row>
    <row r="2329" spans="1:28" x14ac:dyDescent="0.15">
      <c r="A2329" s="1">
        <v>5906</v>
      </c>
      <c r="J2329" s="1" t="s">
        <v>1332</v>
      </c>
      <c r="L2329" s="1" t="s">
        <v>1333</v>
      </c>
      <c r="M2329" s="1" t="s">
        <v>1343</v>
      </c>
      <c r="N2329" s="1" t="s">
        <v>6200</v>
      </c>
      <c r="P2329" s="1" t="s">
        <v>6202</v>
      </c>
      <c r="Q2329" s="3">
        <v>0</v>
      </c>
      <c r="S2329" s="23" t="s">
        <v>5949</v>
      </c>
      <c r="T2329" s="23" t="s">
        <v>4929</v>
      </c>
      <c r="U2329" s="3">
        <v>34</v>
      </c>
      <c r="V2329" s="3" t="s">
        <v>6181</v>
      </c>
      <c r="W2329" s="45" t="str">
        <f>HYPERLINK("http://ictvonline.org/taxonomy/p/taxonomy-history?taxnode_id=201857035","ICTVonline=201857035")</f>
        <v>ICTVonline=201857035</v>
      </c>
      <c r="AA2329" s="1">
        <v>201850000</v>
      </c>
      <c r="AB2329" s="1">
        <v>34</v>
      </c>
    </row>
    <row r="2330" spans="1:28" x14ac:dyDescent="0.15">
      <c r="A2330" s="1">
        <v>5910</v>
      </c>
      <c r="J2330" s="1" t="s">
        <v>1332</v>
      </c>
      <c r="L2330" s="1" t="s">
        <v>1333</v>
      </c>
      <c r="M2330" s="1" t="s">
        <v>1343</v>
      </c>
      <c r="N2330" s="1" t="s">
        <v>6203</v>
      </c>
      <c r="P2330" s="1" t="s">
        <v>2813</v>
      </c>
      <c r="Q2330" s="3">
        <v>0</v>
      </c>
      <c r="S2330" s="23" t="s">
        <v>5949</v>
      </c>
      <c r="T2330" s="23" t="s">
        <v>4931</v>
      </c>
      <c r="U2330" s="3">
        <v>34</v>
      </c>
      <c r="W2330" s="45" t="str">
        <f>HYPERLINK("http://ictvonline.org/taxonomy/p/taxonomy-history?taxnode_id=201850318","ICTVonline=201850318")</f>
        <v>ICTVonline=201850318</v>
      </c>
      <c r="AA2330" s="1">
        <v>201850000</v>
      </c>
      <c r="AB2330" s="1">
        <v>34</v>
      </c>
    </row>
    <row r="2331" spans="1:28" x14ac:dyDescent="0.15">
      <c r="A2331" s="1">
        <v>5912</v>
      </c>
      <c r="J2331" s="1" t="s">
        <v>1332</v>
      </c>
      <c r="L2331" s="1" t="s">
        <v>1333</v>
      </c>
      <c r="M2331" s="1" t="s">
        <v>1343</v>
      </c>
      <c r="N2331" s="1" t="s">
        <v>6203</v>
      </c>
      <c r="P2331" s="1" t="s">
        <v>2814</v>
      </c>
      <c r="Q2331" s="3">
        <v>0</v>
      </c>
      <c r="S2331" s="23" t="s">
        <v>5949</v>
      </c>
      <c r="T2331" s="23" t="s">
        <v>4931</v>
      </c>
      <c r="U2331" s="3">
        <v>34</v>
      </c>
      <c r="W2331" s="45" t="str">
        <f>HYPERLINK("http://ictvonline.org/taxonomy/p/taxonomy-history?taxnode_id=201850319","ICTVonline=201850319")</f>
        <v>ICTVonline=201850319</v>
      </c>
      <c r="AA2331" s="1">
        <v>201850000</v>
      </c>
      <c r="AB2331" s="1">
        <v>34</v>
      </c>
    </row>
    <row r="2332" spans="1:28" x14ac:dyDescent="0.15">
      <c r="A2332" s="1">
        <v>5914</v>
      </c>
      <c r="J2332" s="1" t="s">
        <v>1332</v>
      </c>
      <c r="L2332" s="1" t="s">
        <v>1333</v>
      </c>
      <c r="M2332" s="1" t="s">
        <v>1343</v>
      </c>
      <c r="N2332" s="1" t="s">
        <v>6203</v>
      </c>
      <c r="P2332" s="1" t="s">
        <v>2815</v>
      </c>
      <c r="Q2332" s="3">
        <v>0</v>
      </c>
      <c r="S2332" s="23" t="s">
        <v>5949</v>
      </c>
      <c r="T2332" s="23" t="s">
        <v>4931</v>
      </c>
      <c r="U2332" s="3">
        <v>34</v>
      </c>
      <c r="W2332" s="45" t="str">
        <f>HYPERLINK("http://ictvonline.org/taxonomy/p/taxonomy-history?taxnode_id=201850320","ICTVonline=201850320")</f>
        <v>ICTVonline=201850320</v>
      </c>
      <c r="AA2332" s="1">
        <v>201850000</v>
      </c>
      <c r="AB2332" s="1">
        <v>34</v>
      </c>
    </row>
    <row r="2333" spans="1:28" x14ac:dyDescent="0.15">
      <c r="A2333" s="1">
        <v>5916</v>
      </c>
      <c r="J2333" s="1" t="s">
        <v>1332</v>
      </c>
      <c r="L2333" s="1" t="s">
        <v>1333</v>
      </c>
      <c r="M2333" s="1" t="s">
        <v>1343</v>
      </c>
      <c r="N2333" s="1" t="s">
        <v>6203</v>
      </c>
      <c r="P2333" s="1" t="s">
        <v>2816</v>
      </c>
      <c r="Q2333" s="3">
        <v>0</v>
      </c>
      <c r="S2333" s="23" t="s">
        <v>5949</v>
      </c>
      <c r="T2333" s="23" t="s">
        <v>4931</v>
      </c>
      <c r="U2333" s="3">
        <v>34</v>
      </c>
      <c r="W2333" s="45" t="str">
        <f>HYPERLINK("http://ictvonline.org/taxonomy/p/taxonomy-history?taxnode_id=201850321","ICTVonline=201850321")</f>
        <v>ICTVonline=201850321</v>
      </c>
      <c r="AA2333" s="1">
        <v>201850000</v>
      </c>
      <c r="AB2333" s="1">
        <v>34</v>
      </c>
    </row>
    <row r="2334" spans="1:28" x14ac:dyDescent="0.15">
      <c r="A2334" s="1">
        <v>5918</v>
      </c>
      <c r="J2334" s="1" t="s">
        <v>1332</v>
      </c>
      <c r="L2334" s="1" t="s">
        <v>1333</v>
      </c>
      <c r="M2334" s="1" t="s">
        <v>1343</v>
      </c>
      <c r="N2334" s="1" t="s">
        <v>6203</v>
      </c>
      <c r="P2334" s="1" t="s">
        <v>2817</v>
      </c>
      <c r="Q2334" s="3">
        <v>1</v>
      </c>
      <c r="S2334" s="23" t="s">
        <v>5949</v>
      </c>
      <c r="T2334" s="23" t="s">
        <v>4931</v>
      </c>
      <c r="U2334" s="3">
        <v>34</v>
      </c>
      <c r="W2334" s="45" t="str">
        <f>HYPERLINK("http://ictvonline.org/taxonomy/p/taxonomy-history?taxnode_id=201850322","ICTVonline=201850322")</f>
        <v>ICTVonline=201850322</v>
      </c>
      <c r="AA2334" s="1">
        <v>201850000</v>
      </c>
      <c r="AB2334" s="1">
        <v>34</v>
      </c>
    </row>
    <row r="2335" spans="1:28" x14ac:dyDescent="0.15">
      <c r="A2335" s="1">
        <v>5922</v>
      </c>
      <c r="J2335" s="1" t="s">
        <v>1332</v>
      </c>
      <c r="L2335" s="1" t="s">
        <v>1333</v>
      </c>
      <c r="M2335" s="1" t="s">
        <v>1343</v>
      </c>
      <c r="N2335" s="1" t="s">
        <v>6204</v>
      </c>
      <c r="P2335" s="1" t="s">
        <v>6205</v>
      </c>
      <c r="Q2335" s="3">
        <v>0</v>
      </c>
      <c r="S2335" s="23" t="s">
        <v>5949</v>
      </c>
      <c r="T2335" s="23" t="s">
        <v>4929</v>
      </c>
      <c r="U2335" s="3">
        <v>34</v>
      </c>
      <c r="V2335" s="3" t="s">
        <v>6181</v>
      </c>
      <c r="W2335" s="45" t="str">
        <f>HYPERLINK("http://ictvonline.org/taxonomy/p/taxonomy-history?taxnode_id=201857047","ICTVonline=201857047")</f>
        <v>ICTVonline=201857047</v>
      </c>
      <c r="AA2335" s="1">
        <v>201850000</v>
      </c>
      <c r="AB2335" s="1">
        <v>34</v>
      </c>
    </row>
    <row r="2336" spans="1:28" x14ac:dyDescent="0.15">
      <c r="A2336" s="1">
        <v>5924</v>
      </c>
      <c r="J2336" s="1" t="s">
        <v>1332</v>
      </c>
      <c r="L2336" s="1" t="s">
        <v>1333</v>
      </c>
      <c r="M2336" s="1" t="s">
        <v>1343</v>
      </c>
      <c r="N2336" s="1" t="s">
        <v>6204</v>
      </c>
      <c r="P2336" s="1" t="s">
        <v>2808</v>
      </c>
      <c r="Q2336" s="3">
        <v>1</v>
      </c>
      <c r="S2336" s="23" t="s">
        <v>5949</v>
      </c>
      <c r="T2336" s="23" t="s">
        <v>4931</v>
      </c>
      <c r="U2336" s="3">
        <v>34</v>
      </c>
      <c r="W2336" s="45" t="str">
        <f>HYPERLINK("http://ictvonline.org/taxonomy/p/taxonomy-history?taxnode_id=201850311","ICTVonline=201850311")</f>
        <v>ICTVonline=201850311</v>
      </c>
      <c r="AA2336" s="1">
        <v>201850000</v>
      </c>
      <c r="AB2336" s="1">
        <v>34</v>
      </c>
    </row>
    <row r="2337" spans="1:28" x14ac:dyDescent="0.15">
      <c r="A2337" s="1">
        <v>5926</v>
      </c>
      <c r="J2337" s="1" t="s">
        <v>1332</v>
      </c>
      <c r="L2337" s="1" t="s">
        <v>1333</v>
      </c>
      <c r="M2337" s="1" t="s">
        <v>1343</v>
      </c>
      <c r="N2337" s="1" t="s">
        <v>6204</v>
      </c>
      <c r="P2337" s="1" t="s">
        <v>2809</v>
      </c>
      <c r="Q2337" s="3">
        <v>0</v>
      </c>
      <c r="S2337" s="23" t="s">
        <v>5949</v>
      </c>
      <c r="T2337" s="23" t="s">
        <v>4931</v>
      </c>
      <c r="U2337" s="3">
        <v>34</v>
      </c>
      <c r="W2337" s="45" t="str">
        <f>HYPERLINK("http://ictvonline.org/taxonomy/p/taxonomy-history?taxnode_id=201850312","ICTVonline=201850312")</f>
        <v>ICTVonline=201850312</v>
      </c>
      <c r="AA2337" s="1">
        <v>201850000</v>
      </c>
      <c r="AB2337" s="1">
        <v>34</v>
      </c>
    </row>
    <row r="2338" spans="1:28" x14ac:dyDescent="0.15">
      <c r="A2338" s="1">
        <v>5928</v>
      </c>
      <c r="J2338" s="1" t="s">
        <v>1332</v>
      </c>
      <c r="L2338" s="1" t="s">
        <v>1333</v>
      </c>
      <c r="M2338" s="1" t="s">
        <v>1343</v>
      </c>
      <c r="N2338" s="1" t="s">
        <v>6204</v>
      </c>
      <c r="P2338" s="1" t="s">
        <v>6206</v>
      </c>
      <c r="Q2338" s="3">
        <v>0</v>
      </c>
      <c r="S2338" s="23" t="s">
        <v>5949</v>
      </c>
      <c r="T2338" s="23" t="s">
        <v>4929</v>
      </c>
      <c r="U2338" s="3">
        <v>34</v>
      </c>
      <c r="V2338" s="3" t="s">
        <v>6181</v>
      </c>
      <c r="W2338" s="45" t="str">
        <f>HYPERLINK("http://ictvonline.org/taxonomy/p/taxonomy-history?taxnode_id=201857048","ICTVonline=201857048")</f>
        <v>ICTVonline=201857048</v>
      </c>
      <c r="AA2338" s="1">
        <v>201850000</v>
      </c>
      <c r="AB2338" s="1">
        <v>34</v>
      </c>
    </row>
    <row r="2339" spans="1:28" x14ac:dyDescent="0.15">
      <c r="A2339" s="1">
        <v>5932</v>
      </c>
      <c r="J2339" s="1" t="s">
        <v>1332</v>
      </c>
      <c r="L2339" s="1" t="s">
        <v>1333</v>
      </c>
      <c r="M2339" s="1" t="s">
        <v>1343</v>
      </c>
      <c r="N2339" s="1" t="s">
        <v>6207</v>
      </c>
      <c r="P2339" s="1" t="s">
        <v>4204</v>
      </c>
      <c r="Q2339" s="3">
        <v>1</v>
      </c>
      <c r="S2339" s="23" t="s">
        <v>5949</v>
      </c>
      <c r="T2339" s="23" t="s">
        <v>4931</v>
      </c>
      <c r="U2339" s="3">
        <v>34</v>
      </c>
      <c r="W2339" s="45" t="str">
        <f>HYPERLINK("http://ictvonline.org/taxonomy/p/taxonomy-history?taxnode_id=201850283","ICTVonline=201850283")</f>
        <v>ICTVonline=201850283</v>
      </c>
      <c r="AA2339" s="1">
        <v>201850000</v>
      </c>
      <c r="AB2339" s="1">
        <v>34</v>
      </c>
    </row>
    <row r="2340" spans="1:28" x14ac:dyDescent="0.15">
      <c r="A2340" s="1">
        <v>5934</v>
      </c>
      <c r="J2340" s="1" t="s">
        <v>1332</v>
      </c>
      <c r="L2340" s="1" t="s">
        <v>1333</v>
      </c>
      <c r="M2340" s="1" t="s">
        <v>1343</v>
      </c>
      <c r="N2340" s="1" t="s">
        <v>6207</v>
      </c>
      <c r="P2340" s="1" t="s">
        <v>4205</v>
      </c>
      <c r="Q2340" s="3">
        <v>0</v>
      </c>
      <c r="S2340" s="23" t="s">
        <v>5949</v>
      </c>
      <c r="T2340" s="23" t="s">
        <v>4931</v>
      </c>
      <c r="U2340" s="3">
        <v>34</v>
      </c>
      <c r="W2340" s="45" t="str">
        <f>HYPERLINK("http://ictvonline.org/taxonomy/p/taxonomy-history?taxnode_id=201850284","ICTVonline=201850284")</f>
        <v>ICTVonline=201850284</v>
      </c>
      <c r="AA2340" s="1">
        <v>201850000</v>
      </c>
      <c r="AB2340" s="1">
        <v>34</v>
      </c>
    </row>
    <row r="2341" spans="1:28" x14ac:dyDescent="0.15">
      <c r="A2341" s="1">
        <v>5938</v>
      </c>
      <c r="J2341" s="1" t="s">
        <v>1332</v>
      </c>
      <c r="L2341" s="1" t="s">
        <v>1333</v>
      </c>
      <c r="M2341" s="1" t="s">
        <v>1343</v>
      </c>
      <c r="N2341" s="1" t="s">
        <v>6208</v>
      </c>
      <c r="P2341" s="1" t="s">
        <v>2796</v>
      </c>
      <c r="Q2341" s="3">
        <v>0</v>
      </c>
      <c r="S2341" s="23" t="s">
        <v>5949</v>
      </c>
      <c r="T2341" s="23" t="s">
        <v>4931</v>
      </c>
      <c r="U2341" s="3">
        <v>34</v>
      </c>
      <c r="W2341" s="45" t="str">
        <f>HYPERLINK("http://ictvonline.org/taxonomy/p/taxonomy-history?taxnode_id=201850280","ICTVonline=201850280")</f>
        <v>ICTVonline=201850280</v>
      </c>
      <c r="AA2341" s="1">
        <v>201850000</v>
      </c>
      <c r="AB2341" s="1">
        <v>34</v>
      </c>
    </row>
    <row r="2342" spans="1:28" x14ac:dyDescent="0.15">
      <c r="A2342" s="1">
        <v>5940</v>
      </c>
      <c r="J2342" s="1" t="s">
        <v>1332</v>
      </c>
      <c r="L2342" s="1" t="s">
        <v>1333</v>
      </c>
      <c r="M2342" s="1" t="s">
        <v>1343</v>
      </c>
      <c r="N2342" s="1" t="s">
        <v>6208</v>
      </c>
      <c r="P2342" s="1" t="s">
        <v>4934</v>
      </c>
      <c r="Q2342" s="3">
        <v>1</v>
      </c>
      <c r="S2342" s="23" t="s">
        <v>5949</v>
      </c>
      <c r="T2342" s="23" t="s">
        <v>4931</v>
      </c>
      <c r="U2342" s="3">
        <v>34</v>
      </c>
      <c r="W2342" s="45" t="str">
        <f>HYPERLINK("http://ictvonline.org/taxonomy/p/taxonomy-history?taxnode_id=201850281","ICTVonline=201850281")</f>
        <v>ICTVonline=201850281</v>
      </c>
      <c r="AA2342" s="1">
        <v>201850000</v>
      </c>
      <c r="AB2342" s="1">
        <v>34</v>
      </c>
    </row>
    <row r="2343" spans="1:28" x14ac:dyDescent="0.15">
      <c r="A2343" s="1">
        <v>5944</v>
      </c>
      <c r="J2343" s="1" t="s">
        <v>1332</v>
      </c>
      <c r="L2343" s="1" t="s">
        <v>1333</v>
      </c>
      <c r="M2343" s="1" t="s">
        <v>1343</v>
      </c>
      <c r="N2343" s="1" t="s">
        <v>6209</v>
      </c>
      <c r="P2343" s="1" t="s">
        <v>6210</v>
      </c>
      <c r="Q2343" s="3">
        <v>0</v>
      </c>
      <c r="S2343" s="23" t="s">
        <v>5949</v>
      </c>
      <c r="T2343" s="23" t="s">
        <v>4929</v>
      </c>
      <c r="U2343" s="3">
        <v>34</v>
      </c>
      <c r="V2343" s="3" t="s">
        <v>6181</v>
      </c>
      <c r="W2343" s="45" t="str">
        <f>HYPERLINK("http://ictvonline.org/taxonomy/p/taxonomy-history?taxnode_id=201857038","ICTVonline=201857038")</f>
        <v>ICTVonline=201857038</v>
      </c>
      <c r="AA2343" s="1">
        <v>201850000</v>
      </c>
      <c r="AB2343" s="1">
        <v>34</v>
      </c>
    </row>
    <row r="2344" spans="1:28" x14ac:dyDescent="0.15">
      <c r="A2344" s="1">
        <v>5946</v>
      </c>
      <c r="J2344" s="1" t="s">
        <v>1332</v>
      </c>
      <c r="L2344" s="1" t="s">
        <v>1333</v>
      </c>
      <c r="M2344" s="1" t="s">
        <v>1343</v>
      </c>
      <c r="N2344" s="1" t="s">
        <v>6209</v>
      </c>
      <c r="P2344" s="1" t="s">
        <v>6211</v>
      </c>
      <c r="Q2344" s="3">
        <v>0</v>
      </c>
      <c r="S2344" s="23" t="s">
        <v>5949</v>
      </c>
      <c r="T2344" s="23" t="s">
        <v>4929</v>
      </c>
      <c r="U2344" s="3">
        <v>34</v>
      </c>
      <c r="V2344" s="3" t="s">
        <v>6181</v>
      </c>
      <c r="W2344" s="45" t="str">
        <f>HYPERLINK("http://ictvonline.org/taxonomy/p/taxonomy-history?taxnode_id=201857039","ICTVonline=201857039")</f>
        <v>ICTVonline=201857039</v>
      </c>
      <c r="AA2344" s="1">
        <v>201850000</v>
      </c>
      <c r="AB2344" s="1">
        <v>34</v>
      </c>
    </row>
    <row r="2345" spans="1:28" x14ac:dyDescent="0.15">
      <c r="A2345" s="1">
        <v>5948</v>
      </c>
      <c r="J2345" s="1" t="s">
        <v>1332</v>
      </c>
      <c r="L2345" s="1" t="s">
        <v>1333</v>
      </c>
      <c r="M2345" s="1" t="s">
        <v>1343</v>
      </c>
      <c r="N2345" s="1" t="s">
        <v>6209</v>
      </c>
      <c r="P2345" s="1" t="s">
        <v>4215</v>
      </c>
      <c r="Q2345" s="3">
        <v>0</v>
      </c>
      <c r="S2345" s="23" t="s">
        <v>5949</v>
      </c>
      <c r="T2345" s="23" t="s">
        <v>4931</v>
      </c>
      <c r="U2345" s="3">
        <v>34</v>
      </c>
      <c r="W2345" s="45" t="str">
        <f>HYPERLINK("http://ictvonline.org/taxonomy/p/taxonomy-history?taxnode_id=201850302","ICTVonline=201850302")</f>
        <v>ICTVonline=201850302</v>
      </c>
      <c r="AA2345" s="1">
        <v>201850000</v>
      </c>
      <c r="AB2345" s="1">
        <v>34</v>
      </c>
    </row>
    <row r="2346" spans="1:28" x14ac:dyDescent="0.15">
      <c r="A2346" s="1">
        <v>5950</v>
      </c>
      <c r="J2346" s="1" t="s">
        <v>1332</v>
      </c>
      <c r="L2346" s="1" t="s">
        <v>1333</v>
      </c>
      <c r="M2346" s="1" t="s">
        <v>1343</v>
      </c>
      <c r="N2346" s="1" t="s">
        <v>6209</v>
      </c>
      <c r="P2346" s="1" t="s">
        <v>2802</v>
      </c>
      <c r="Q2346" s="3">
        <v>0</v>
      </c>
      <c r="S2346" s="23" t="s">
        <v>5949</v>
      </c>
      <c r="T2346" s="23" t="s">
        <v>4931</v>
      </c>
      <c r="U2346" s="3">
        <v>34</v>
      </c>
      <c r="W2346" s="45" t="str">
        <f>HYPERLINK("http://ictvonline.org/taxonomy/p/taxonomy-history?taxnode_id=201850303","ICTVonline=201850303")</f>
        <v>ICTVonline=201850303</v>
      </c>
      <c r="AA2346" s="1">
        <v>201850000</v>
      </c>
      <c r="AB2346" s="1">
        <v>34</v>
      </c>
    </row>
    <row r="2347" spans="1:28" x14ac:dyDescent="0.15">
      <c r="A2347" s="1">
        <v>5952</v>
      </c>
      <c r="J2347" s="1" t="s">
        <v>1332</v>
      </c>
      <c r="L2347" s="1" t="s">
        <v>1333</v>
      </c>
      <c r="M2347" s="1" t="s">
        <v>1343</v>
      </c>
      <c r="N2347" s="1" t="s">
        <v>6209</v>
      </c>
      <c r="P2347" s="1" t="s">
        <v>2803</v>
      </c>
      <c r="Q2347" s="3">
        <v>1</v>
      </c>
      <c r="S2347" s="23" t="s">
        <v>5949</v>
      </c>
      <c r="T2347" s="23" t="s">
        <v>4931</v>
      </c>
      <c r="U2347" s="3">
        <v>34</v>
      </c>
      <c r="W2347" s="45" t="str">
        <f>HYPERLINK("http://ictvonline.org/taxonomy/p/taxonomy-history?taxnode_id=201850304","ICTVonline=201850304")</f>
        <v>ICTVonline=201850304</v>
      </c>
      <c r="AA2347" s="1">
        <v>201850000</v>
      </c>
      <c r="AB2347" s="1">
        <v>34</v>
      </c>
    </row>
    <row r="2348" spans="1:28" x14ac:dyDescent="0.15">
      <c r="A2348" s="1">
        <v>5956</v>
      </c>
      <c r="J2348" s="1" t="s">
        <v>1332</v>
      </c>
      <c r="L2348" s="1" t="s">
        <v>1333</v>
      </c>
      <c r="M2348" s="1" t="s">
        <v>1343</v>
      </c>
      <c r="N2348" s="1" t="s">
        <v>4212</v>
      </c>
      <c r="P2348" s="1" t="s">
        <v>6212</v>
      </c>
      <c r="Q2348" s="3">
        <v>0</v>
      </c>
      <c r="S2348" s="23" t="s">
        <v>5949</v>
      </c>
      <c r="T2348" s="23" t="s">
        <v>4929</v>
      </c>
      <c r="U2348" s="3">
        <v>34</v>
      </c>
      <c r="V2348" s="3" t="s">
        <v>6181</v>
      </c>
      <c r="W2348" s="45" t="str">
        <f>HYPERLINK("http://ictvonline.org/taxonomy/p/taxonomy-history?taxnode_id=201857037","ICTVonline=201857037")</f>
        <v>ICTVonline=201857037</v>
      </c>
      <c r="AA2348" s="1">
        <v>201850000</v>
      </c>
      <c r="AB2348" s="1">
        <v>34</v>
      </c>
    </row>
    <row r="2349" spans="1:28" x14ac:dyDescent="0.15">
      <c r="A2349" s="1">
        <v>5958</v>
      </c>
      <c r="J2349" s="1" t="s">
        <v>1332</v>
      </c>
      <c r="L2349" s="1" t="s">
        <v>1333</v>
      </c>
      <c r="M2349" s="1" t="s">
        <v>1343</v>
      </c>
      <c r="N2349" s="1" t="s">
        <v>4212</v>
      </c>
      <c r="P2349" s="1" t="s">
        <v>4213</v>
      </c>
      <c r="Q2349" s="3">
        <v>0</v>
      </c>
      <c r="S2349" s="23" t="s">
        <v>5949</v>
      </c>
      <c r="W2349" s="45" t="str">
        <f>HYPERLINK("http://ictvonline.org/taxonomy/p/taxonomy-history?taxnode_id=201850299","ICTVonline=201850299")</f>
        <v>ICTVonline=201850299</v>
      </c>
      <c r="AA2349" s="1">
        <v>201850000</v>
      </c>
      <c r="AB2349" s="1">
        <v>34</v>
      </c>
    </row>
    <row r="2350" spans="1:28" x14ac:dyDescent="0.15">
      <c r="A2350" s="1">
        <v>5960</v>
      </c>
      <c r="J2350" s="1" t="s">
        <v>1332</v>
      </c>
      <c r="L2350" s="1" t="s">
        <v>1333</v>
      </c>
      <c r="M2350" s="1" t="s">
        <v>1343</v>
      </c>
      <c r="N2350" s="1" t="s">
        <v>4212</v>
      </c>
      <c r="P2350" s="1" t="s">
        <v>4214</v>
      </c>
      <c r="Q2350" s="3">
        <v>1</v>
      </c>
      <c r="S2350" s="23" t="s">
        <v>5949</v>
      </c>
      <c r="W2350" s="45" t="str">
        <f>HYPERLINK("http://ictvonline.org/taxonomy/p/taxonomy-history?taxnode_id=201850300","ICTVonline=201850300")</f>
        <v>ICTVonline=201850300</v>
      </c>
      <c r="AA2350" s="1">
        <v>201850000</v>
      </c>
      <c r="AB2350" s="1">
        <v>34</v>
      </c>
    </row>
    <row r="2351" spans="1:28" x14ac:dyDescent="0.15">
      <c r="A2351" s="1">
        <v>5964</v>
      </c>
      <c r="J2351" s="1" t="s">
        <v>1332</v>
      </c>
      <c r="L2351" s="1" t="s">
        <v>1333</v>
      </c>
      <c r="M2351" s="1" t="s">
        <v>1343</v>
      </c>
      <c r="N2351" s="1" t="s">
        <v>6213</v>
      </c>
      <c r="P2351" s="1" t="s">
        <v>6214</v>
      </c>
      <c r="Q2351" s="3">
        <v>0</v>
      </c>
      <c r="S2351" s="23" t="s">
        <v>5949</v>
      </c>
      <c r="T2351" s="23" t="s">
        <v>4929</v>
      </c>
      <c r="U2351" s="3">
        <v>34</v>
      </c>
      <c r="V2351" s="3" t="s">
        <v>6181</v>
      </c>
      <c r="W2351" s="45" t="str">
        <f>HYPERLINK("http://ictvonline.org/taxonomy/p/taxonomy-history?taxnode_id=201857042","ICTVonline=201857042")</f>
        <v>ICTVonline=201857042</v>
      </c>
      <c r="AA2351" s="1">
        <v>201850000</v>
      </c>
      <c r="AB2351" s="1">
        <v>34</v>
      </c>
    </row>
    <row r="2352" spans="1:28" x14ac:dyDescent="0.15">
      <c r="A2352" s="1">
        <v>5966</v>
      </c>
      <c r="J2352" s="1" t="s">
        <v>1332</v>
      </c>
      <c r="L2352" s="1" t="s">
        <v>1333</v>
      </c>
      <c r="M2352" s="1" t="s">
        <v>1343</v>
      </c>
      <c r="N2352" s="1" t="s">
        <v>6213</v>
      </c>
      <c r="P2352" s="1" t="s">
        <v>6215</v>
      </c>
      <c r="Q2352" s="3">
        <v>0</v>
      </c>
      <c r="S2352" s="23" t="s">
        <v>5949</v>
      </c>
      <c r="T2352" s="23" t="s">
        <v>4929</v>
      </c>
      <c r="U2352" s="3">
        <v>34</v>
      </c>
      <c r="V2352" s="3" t="s">
        <v>6181</v>
      </c>
      <c r="W2352" s="45" t="str">
        <f>HYPERLINK("http://ictvonline.org/taxonomy/p/taxonomy-history?taxnode_id=201857041","ICTVonline=201857041")</f>
        <v>ICTVonline=201857041</v>
      </c>
      <c r="AA2352" s="1">
        <v>201850000</v>
      </c>
      <c r="AB2352" s="1">
        <v>34</v>
      </c>
    </row>
    <row r="2353" spans="1:28" x14ac:dyDescent="0.15">
      <c r="A2353" s="1">
        <v>5968</v>
      </c>
      <c r="J2353" s="1" t="s">
        <v>1332</v>
      </c>
      <c r="L2353" s="1" t="s">
        <v>1333</v>
      </c>
      <c r="M2353" s="1" t="s">
        <v>1343</v>
      </c>
      <c r="N2353" s="1" t="s">
        <v>6213</v>
      </c>
      <c r="P2353" s="1" t="s">
        <v>2804</v>
      </c>
      <c r="Q2353" s="3">
        <v>0</v>
      </c>
      <c r="S2353" s="23" t="s">
        <v>5949</v>
      </c>
      <c r="T2353" s="23" t="s">
        <v>4931</v>
      </c>
      <c r="U2353" s="3">
        <v>34</v>
      </c>
      <c r="W2353" s="45" t="str">
        <f>HYPERLINK("http://ictvonline.org/taxonomy/p/taxonomy-history?taxnode_id=201850306","ICTVonline=201850306")</f>
        <v>ICTVonline=201850306</v>
      </c>
      <c r="AA2353" s="1">
        <v>201850000</v>
      </c>
      <c r="AB2353" s="1">
        <v>34</v>
      </c>
    </row>
    <row r="2354" spans="1:28" x14ac:dyDescent="0.15">
      <c r="A2354" s="1">
        <v>5970</v>
      </c>
      <c r="J2354" s="1" t="s">
        <v>1332</v>
      </c>
      <c r="L2354" s="1" t="s">
        <v>1333</v>
      </c>
      <c r="M2354" s="1" t="s">
        <v>1343</v>
      </c>
      <c r="N2354" s="1" t="s">
        <v>6213</v>
      </c>
      <c r="P2354" s="1" t="s">
        <v>2805</v>
      </c>
      <c r="Q2354" s="3">
        <v>0</v>
      </c>
      <c r="S2354" s="23" t="s">
        <v>5949</v>
      </c>
      <c r="T2354" s="23" t="s">
        <v>4931</v>
      </c>
      <c r="U2354" s="3">
        <v>34</v>
      </c>
      <c r="W2354" s="45" t="str">
        <f>HYPERLINK("http://ictvonline.org/taxonomy/p/taxonomy-history?taxnode_id=201850307","ICTVonline=201850307")</f>
        <v>ICTVonline=201850307</v>
      </c>
      <c r="AA2354" s="1">
        <v>201850000</v>
      </c>
      <c r="AB2354" s="1">
        <v>34</v>
      </c>
    </row>
    <row r="2355" spans="1:28" x14ac:dyDescent="0.15">
      <c r="A2355" s="1">
        <v>5972</v>
      </c>
      <c r="J2355" s="1" t="s">
        <v>1332</v>
      </c>
      <c r="L2355" s="1" t="s">
        <v>1333</v>
      </c>
      <c r="M2355" s="1" t="s">
        <v>1343</v>
      </c>
      <c r="N2355" s="1" t="s">
        <v>6213</v>
      </c>
      <c r="P2355" s="1" t="s">
        <v>6216</v>
      </c>
      <c r="Q2355" s="3">
        <v>0</v>
      </c>
      <c r="S2355" s="23" t="s">
        <v>5949</v>
      </c>
      <c r="T2355" s="23" t="s">
        <v>4929</v>
      </c>
      <c r="U2355" s="3">
        <v>34</v>
      </c>
      <c r="V2355" s="3" t="s">
        <v>6181</v>
      </c>
      <c r="W2355" s="45" t="str">
        <f>HYPERLINK("http://ictvonline.org/taxonomy/p/taxonomy-history?taxnode_id=201857045","ICTVonline=201857045")</f>
        <v>ICTVonline=201857045</v>
      </c>
      <c r="AA2355" s="1">
        <v>201850000</v>
      </c>
      <c r="AB2355" s="1">
        <v>34</v>
      </c>
    </row>
    <row r="2356" spans="1:28" x14ac:dyDescent="0.15">
      <c r="A2356" s="1">
        <v>5974</v>
      </c>
      <c r="J2356" s="1" t="s">
        <v>1332</v>
      </c>
      <c r="L2356" s="1" t="s">
        <v>1333</v>
      </c>
      <c r="M2356" s="1" t="s">
        <v>1343</v>
      </c>
      <c r="N2356" s="1" t="s">
        <v>6213</v>
      </c>
      <c r="P2356" s="1" t="s">
        <v>6217</v>
      </c>
      <c r="Q2356" s="3">
        <v>0</v>
      </c>
      <c r="S2356" s="23" t="s">
        <v>5949</v>
      </c>
      <c r="T2356" s="23" t="s">
        <v>4929</v>
      </c>
      <c r="U2356" s="3">
        <v>34</v>
      </c>
      <c r="V2356" s="3" t="s">
        <v>6181</v>
      </c>
      <c r="W2356" s="45" t="str">
        <f>HYPERLINK("http://ictvonline.org/taxonomy/p/taxonomy-history?taxnode_id=201857046","ICTVonline=201857046")</f>
        <v>ICTVonline=201857046</v>
      </c>
      <c r="AA2356" s="1">
        <v>201850000</v>
      </c>
      <c r="AB2356" s="1">
        <v>34</v>
      </c>
    </row>
    <row r="2357" spans="1:28" x14ac:dyDescent="0.15">
      <c r="A2357" s="1">
        <v>5976</v>
      </c>
      <c r="J2357" s="1" t="s">
        <v>1332</v>
      </c>
      <c r="L2357" s="1" t="s">
        <v>1333</v>
      </c>
      <c r="M2357" s="1" t="s">
        <v>1343</v>
      </c>
      <c r="N2357" s="1" t="s">
        <v>6213</v>
      </c>
      <c r="P2357" s="1" t="s">
        <v>6218</v>
      </c>
      <c r="Q2357" s="3">
        <v>0</v>
      </c>
      <c r="S2357" s="23" t="s">
        <v>5949</v>
      </c>
      <c r="T2357" s="23" t="s">
        <v>4929</v>
      </c>
      <c r="U2357" s="3">
        <v>34</v>
      </c>
      <c r="V2357" s="3" t="s">
        <v>6181</v>
      </c>
      <c r="W2357" s="45" t="str">
        <f>HYPERLINK("http://ictvonline.org/taxonomy/p/taxonomy-history?taxnode_id=201857040","ICTVonline=201857040")</f>
        <v>ICTVonline=201857040</v>
      </c>
      <c r="AA2357" s="1">
        <v>201850000</v>
      </c>
      <c r="AB2357" s="1">
        <v>34</v>
      </c>
    </row>
    <row r="2358" spans="1:28" x14ac:dyDescent="0.15">
      <c r="A2358" s="1">
        <v>5978</v>
      </c>
      <c r="J2358" s="1" t="s">
        <v>1332</v>
      </c>
      <c r="L2358" s="1" t="s">
        <v>1333</v>
      </c>
      <c r="M2358" s="1" t="s">
        <v>1343</v>
      </c>
      <c r="N2358" s="1" t="s">
        <v>6213</v>
      </c>
      <c r="P2358" s="1" t="s">
        <v>2806</v>
      </c>
      <c r="Q2358" s="3">
        <v>1</v>
      </c>
      <c r="S2358" s="23" t="s">
        <v>5949</v>
      </c>
      <c r="T2358" s="23" t="s">
        <v>4931</v>
      </c>
      <c r="U2358" s="3">
        <v>34</v>
      </c>
      <c r="W2358" s="45" t="str">
        <f>HYPERLINK("http://ictvonline.org/taxonomy/p/taxonomy-history?taxnode_id=201850308","ICTVonline=201850308")</f>
        <v>ICTVonline=201850308</v>
      </c>
      <c r="AA2358" s="1">
        <v>201850000</v>
      </c>
      <c r="AB2358" s="1">
        <v>34</v>
      </c>
    </row>
    <row r="2359" spans="1:28" x14ac:dyDescent="0.15">
      <c r="A2359" s="1">
        <v>5980</v>
      </c>
      <c r="J2359" s="1" t="s">
        <v>1332</v>
      </c>
      <c r="L2359" s="1" t="s">
        <v>1333</v>
      </c>
      <c r="M2359" s="1" t="s">
        <v>1343</v>
      </c>
      <c r="N2359" s="1" t="s">
        <v>6213</v>
      </c>
      <c r="P2359" s="1" t="s">
        <v>6219</v>
      </c>
      <c r="Q2359" s="3">
        <v>0</v>
      </c>
      <c r="S2359" s="23" t="s">
        <v>5949</v>
      </c>
      <c r="T2359" s="23" t="s">
        <v>4929</v>
      </c>
      <c r="U2359" s="3">
        <v>34</v>
      </c>
      <c r="V2359" s="3" t="s">
        <v>6181</v>
      </c>
      <c r="W2359" s="45" t="str">
        <f>HYPERLINK("http://ictvonline.org/taxonomy/p/taxonomy-history?taxnode_id=201857043","ICTVonline=201857043")</f>
        <v>ICTVonline=201857043</v>
      </c>
      <c r="AA2359" s="1">
        <v>201850000</v>
      </c>
      <c r="AB2359" s="1">
        <v>34</v>
      </c>
    </row>
    <row r="2360" spans="1:28" x14ac:dyDescent="0.15">
      <c r="A2360" s="1">
        <v>5982</v>
      </c>
      <c r="J2360" s="1" t="s">
        <v>1332</v>
      </c>
      <c r="L2360" s="1" t="s">
        <v>1333</v>
      </c>
      <c r="M2360" s="1" t="s">
        <v>1343</v>
      </c>
      <c r="N2360" s="1" t="s">
        <v>6213</v>
      </c>
      <c r="P2360" s="1" t="s">
        <v>6220</v>
      </c>
      <c r="Q2360" s="3">
        <v>0</v>
      </c>
      <c r="S2360" s="23" t="s">
        <v>5949</v>
      </c>
      <c r="T2360" s="23" t="s">
        <v>4929</v>
      </c>
      <c r="U2360" s="3">
        <v>34</v>
      </c>
      <c r="V2360" s="3" t="s">
        <v>6181</v>
      </c>
      <c r="W2360" s="45" t="str">
        <f>HYPERLINK("http://ictvonline.org/taxonomy/p/taxonomy-history?taxnode_id=201857044","ICTVonline=201857044")</f>
        <v>ICTVonline=201857044</v>
      </c>
      <c r="AA2360" s="1">
        <v>201850000</v>
      </c>
      <c r="AB2360" s="1">
        <v>34</v>
      </c>
    </row>
    <row r="2361" spans="1:28" x14ac:dyDescent="0.15">
      <c r="A2361" s="1">
        <v>5984</v>
      </c>
      <c r="J2361" s="1" t="s">
        <v>1332</v>
      </c>
      <c r="L2361" s="1" t="s">
        <v>1333</v>
      </c>
      <c r="M2361" s="1" t="s">
        <v>1343</v>
      </c>
      <c r="N2361" s="1" t="s">
        <v>6213</v>
      </c>
      <c r="P2361" s="1" t="s">
        <v>2807</v>
      </c>
      <c r="Q2361" s="3">
        <v>0</v>
      </c>
      <c r="S2361" s="23" t="s">
        <v>5949</v>
      </c>
      <c r="T2361" s="23" t="s">
        <v>4931</v>
      </c>
      <c r="U2361" s="3">
        <v>34</v>
      </c>
      <c r="W2361" s="45" t="str">
        <f>HYPERLINK("http://ictvonline.org/taxonomy/p/taxonomy-history?taxnode_id=201850309","ICTVonline=201850309")</f>
        <v>ICTVonline=201850309</v>
      </c>
      <c r="AA2361" s="1">
        <v>201850000</v>
      </c>
      <c r="AB2361" s="1">
        <v>34</v>
      </c>
    </row>
    <row r="2362" spans="1:28" x14ac:dyDescent="0.15">
      <c r="A2362" s="1">
        <v>5988</v>
      </c>
      <c r="J2362" s="1" t="s">
        <v>1332</v>
      </c>
      <c r="L2362" s="1" t="s">
        <v>1333</v>
      </c>
      <c r="M2362" s="1" t="s">
        <v>1343</v>
      </c>
      <c r="N2362" s="1" t="s">
        <v>6221</v>
      </c>
      <c r="P2362" s="1" t="s">
        <v>2810</v>
      </c>
      <c r="Q2362" s="3">
        <v>1</v>
      </c>
      <c r="S2362" s="23" t="s">
        <v>5949</v>
      </c>
      <c r="T2362" s="23" t="s">
        <v>4931</v>
      </c>
      <c r="U2362" s="3">
        <v>34</v>
      </c>
      <c r="W2362" s="45" t="str">
        <f>HYPERLINK("http://ictvonline.org/taxonomy/p/taxonomy-history?taxnode_id=201850314","ICTVonline=201850314")</f>
        <v>ICTVonline=201850314</v>
      </c>
      <c r="AA2362" s="1">
        <v>201850000</v>
      </c>
      <c r="AB2362" s="1">
        <v>34</v>
      </c>
    </row>
    <row r="2363" spans="1:28" x14ac:dyDescent="0.15">
      <c r="A2363" s="1">
        <v>5990</v>
      </c>
      <c r="J2363" s="1" t="s">
        <v>1332</v>
      </c>
      <c r="L2363" s="1" t="s">
        <v>1333</v>
      </c>
      <c r="M2363" s="1" t="s">
        <v>1343</v>
      </c>
      <c r="N2363" s="1" t="s">
        <v>6221</v>
      </c>
      <c r="P2363" s="1" t="s">
        <v>2811</v>
      </c>
      <c r="Q2363" s="3">
        <v>0</v>
      </c>
      <c r="S2363" s="23" t="s">
        <v>5949</v>
      </c>
      <c r="T2363" s="23" t="s">
        <v>4931</v>
      </c>
      <c r="U2363" s="3">
        <v>34</v>
      </c>
      <c r="W2363" s="45" t="str">
        <f>HYPERLINK("http://ictvonline.org/taxonomy/p/taxonomy-history?taxnode_id=201850315","ICTVonline=201850315")</f>
        <v>ICTVonline=201850315</v>
      </c>
      <c r="AA2363" s="1">
        <v>201850000</v>
      </c>
      <c r="AB2363" s="1">
        <v>34</v>
      </c>
    </row>
    <row r="2364" spans="1:28" x14ac:dyDescent="0.15">
      <c r="A2364" s="1">
        <v>5992</v>
      </c>
      <c r="J2364" s="1" t="s">
        <v>1332</v>
      </c>
      <c r="L2364" s="1" t="s">
        <v>1333</v>
      </c>
      <c r="M2364" s="1" t="s">
        <v>1343</v>
      </c>
      <c r="N2364" s="1" t="s">
        <v>6221</v>
      </c>
      <c r="P2364" s="1" t="s">
        <v>2812</v>
      </c>
      <c r="Q2364" s="3">
        <v>0</v>
      </c>
      <c r="S2364" s="23" t="s">
        <v>5949</v>
      </c>
      <c r="T2364" s="23" t="s">
        <v>4931</v>
      </c>
      <c r="U2364" s="3">
        <v>34</v>
      </c>
      <c r="W2364" s="45" t="str">
        <f>HYPERLINK("http://ictvonline.org/taxonomy/p/taxonomy-history?taxnode_id=201850316","ICTVonline=201850316")</f>
        <v>ICTVonline=201850316</v>
      </c>
      <c r="AA2364" s="1">
        <v>201850000</v>
      </c>
      <c r="AB2364" s="1">
        <v>34</v>
      </c>
    </row>
    <row r="2365" spans="1:28" x14ac:dyDescent="0.15">
      <c r="A2365" s="1">
        <v>5996</v>
      </c>
      <c r="J2365" s="1" t="s">
        <v>1332</v>
      </c>
      <c r="L2365" s="1" t="s">
        <v>1333</v>
      </c>
      <c r="M2365" s="1" t="s">
        <v>1343</v>
      </c>
      <c r="N2365" s="1" t="s">
        <v>6222</v>
      </c>
      <c r="P2365" s="1" t="s">
        <v>4207</v>
      </c>
      <c r="Q2365" s="3">
        <v>0</v>
      </c>
      <c r="S2365" s="23" t="s">
        <v>5949</v>
      </c>
      <c r="T2365" s="23" t="s">
        <v>4931</v>
      </c>
      <c r="U2365" s="3">
        <v>34</v>
      </c>
      <c r="W2365" s="45" t="str">
        <f>HYPERLINK("http://ictvonline.org/taxonomy/p/taxonomy-history?taxnode_id=201850293","ICTVonline=201850293")</f>
        <v>ICTVonline=201850293</v>
      </c>
      <c r="AA2365" s="1">
        <v>201850000</v>
      </c>
      <c r="AB2365" s="1">
        <v>34</v>
      </c>
    </row>
    <row r="2366" spans="1:28" x14ac:dyDescent="0.15">
      <c r="A2366" s="1">
        <v>5998</v>
      </c>
      <c r="J2366" s="1" t="s">
        <v>1332</v>
      </c>
      <c r="L2366" s="1" t="s">
        <v>1333</v>
      </c>
      <c r="M2366" s="1" t="s">
        <v>1343</v>
      </c>
      <c r="N2366" s="1" t="s">
        <v>6222</v>
      </c>
      <c r="P2366" s="1" t="s">
        <v>4208</v>
      </c>
      <c r="Q2366" s="3">
        <v>1</v>
      </c>
      <c r="S2366" s="23" t="s">
        <v>5949</v>
      </c>
      <c r="T2366" s="23" t="s">
        <v>4931</v>
      </c>
      <c r="U2366" s="3">
        <v>34</v>
      </c>
      <c r="W2366" s="45" t="str">
        <f>HYPERLINK("http://ictvonline.org/taxonomy/p/taxonomy-history?taxnode_id=201850294","ICTVonline=201850294")</f>
        <v>ICTVonline=201850294</v>
      </c>
      <c r="AA2366" s="1">
        <v>201850000</v>
      </c>
      <c r="AB2366" s="1">
        <v>34</v>
      </c>
    </row>
    <row r="2367" spans="1:28" x14ac:dyDescent="0.15">
      <c r="A2367" s="1">
        <v>6000</v>
      </c>
      <c r="J2367" s="1" t="s">
        <v>1332</v>
      </c>
      <c r="L2367" s="1" t="s">
        <v>1333</v>
      </c>
      <c r="M2367" s="1" t="s">
        <v>1343</v>
      </c>
      <c r="N2367" s="1" t="s">
        <v>6222</v>
      </c>
      <c r="P2367" s="1" t="s">
        <v>4209</v>
      </c>
      <c r="Q2367" s="3">
        <v>0</v>
      </c>
      <c r="S2367" s="23" t="s">
        <v>5949</v>
      </c>
      <c r="T2367" s="23" t="s">
        <v>4931</v>
      </c>
      <c r="U2367" s="3">
        <v>34</v>
      </c>
      <c r="W2367" s="45" t="str">
        <f>HYPERLINK("http://ictvonline.org/taxonomy/p/taxonomy-history?taxnode_id=201850295","ICTVonline=201850295")</f>
        <v>ICTVonline=201850295</v>
      </c>
      <c r="AA2367" s="1">
        <v>201850000</v>
      </c>
      <c r="AB2367" s="1">
        <v>34</v>
      </c>
    </row>
    <row r="2368" spans="1:28" x14ac:dyDescent="0.15">
      <c r="A2368" s="1">
        <v>6002</v>
      </c>
      <c r="J2368" s="1" t="s">
        <v>1332</v>
      </c>
      <c r="L2368" s="1" t="s">
        <v>1333</v>
      </c>
      <c r="M2368" s="1" t="s">
        <v>1343</v>
      </c>
      <c r="N2368" s="1" t="s">
        <v>6222</v>
      </c>
      <c r="P2368" s="1" t="s">
        <v>4210</v>
      </c>
      <c r="Q2368" s="3">
        <v>0</v>
      </c>
      <c r="S2368" s="23" t="s">
        <v>5949</v>
      </c>
      <c r="T2368" s="23" t="s">
        <v>4931</v>
      </c>
      <c r="U2368" s="3">
        <v>34</v>
      </c>
      <c r="W2368" s="45" t="str">
        <f>HYPERLINK("http://ictvonline.org/taxonomy/p/taxonomy-history?taxnode_id=201850296","ICTVonline=201850296")</f>
        <v>ICTVonline=201850296</v>
      </c>
      <c r="AA2368" s="1">
        <v>201850000</v>
      </c>
      <c r="AB2368" s="1">
        <v>34</v>
      </c>
    </row>
    <row r="2369" spans="1:28" x14ac:dyDescent="0.15">
      <c r="A2369" s="1">
        <v>6004</v>
      </c>
      <c r="J2369" s="1" t="s">
        <v>1332</v>
      </c>
      <c r="L2369" s="1" t="s">
        <v>1333</v>
      </c>
      <c r="M2369" s="1" t="s">
        <v>1343</v>
      </c>
      <c r="N2369" s="1" t="s">
        <v>6222</v>
      </c>
      <c r="P2369" s="1" t="s">
        <v>4211</v>
      </c>
      <c r="Q2369" s="3">
        <v>0</v>
      </c>
      <c r="S2369" s="23" t="s">
        <v>5949</v>
      </c>
      <c r="T2369" s="23" t="s">
        <v>4931</v>
      </c>
      <c r="U2369" s="3">
        <v>34</v>
      </c>
      <c r="W2369" s="45" t="str">
        <f>HYPERLINK("http://ictvonline.org/taxonomy/p/taxonomy-history?taxnode_id=201850297","ICTVonline=201850297")</f>
        <v>ICTVonline=201850297</v>
      </c>
      <c r="AA2369" s="1">
        <v>201850000</v>
      </c>
      <c r="AB2369" s="1">
        <v>34</v>
      </c>
    </row>
    <row r="2370" spans="1:28" x14ac:dyDescent="0.15">
      <c r="A2370" s="1">
        <v>6006</v>
      </c>
      <c r="J2370" s="1" t="s">
        <v>1332</v>
      </c>
      <c r="L2370" s="1" t="s">
        <v>1333</v>
      </c>
      <c r="M2370" s="1" t="s">
        <v>1343</v>
      </c>
      <c r="N2370" s="1" t="s">
        <v>6222</v>
      </c>
      <c r="P2370" s="1" t="s">
        <v>6223</v>
      </c>
      <c r="Q2370" s="3">
        <v>0</v>
      </c>
      <c r="S2370" s="23" t="s">
        <v>5949</v>
      </c>
      <c r="T2370" s="23" t="s">
        <v>4929</v>
      </c>
      <c r="U2370" s="3">
        <v>34</v>
      </c>
      <c r="V2370" s="3" t="s">
        <v>6181</v>
      </c>
      <c r="W2370" s="45" t="str">
        <f>HYPERLINK("http://ictvonline.org/taxonomy/p/taxonomy-history?taxnode_id=201857036","ICTVonline=201857036")</f>
        <v>ICTVonline=201857036</v>
      </c>
      <c r="AA2370" s="1">
        <v>201850000</v>
      </c>
      <c r="AB2370" s="1">
        <v>34</v>
      </c>
    </row>
    <row r="2371" spans="1:28" x14ac:dyDescent="0.15">
      <c r="A2371" s="1">
        <v>6010</v>
      </c>
      <c r="J2371" s="1" t="s">
        <v>1332</v>
      </c>
      <c r="L2371" s="1" t="s">
        <v>1333</v>
      </c>
      <c r="M2371" s="1" t="s">
        <v>1343</v>
      </c>
      <c r="N2371" s="1" t="s">
        <v>6224</v>
      </c>
      <c r="P2371" s="1" t="s">
        <v>2818</v>
      </c>
      <c r="Q2371" s="3">
        <v>0</v>
      </c>
      <c r="S2371" s="23" t="s">
        <v>5949</v>
      </c>
      <c r="T2371" s="23" t="s">
        <v>4931</v>
      </c>
      <c r="U2371" s="3">
        <v>34</v>
      </c>
      <c r="W2371" s="45" t="str">
        <f>HYPERLINK("http://ictvonline.org/taxonomy/p/taxonomy-history?taxnode_id=201850324","ICTVonline=201850324")</f>
        <v>ICTVonline=201850324</v>
      </c>
      <c r="AA2371" s="1">
        <v>201850000</v>
      </c>
      <c r="AB2371" s="1">
        <v>34</v>
      </c>
    </row>
    <row r="2372" spans="1:28" x14ac:dyDescent="0.15">
      <c r="A2372" s="1">
        <v>6012</v>
      </c>
      <c r="J2372" s="1" t="s">
        <v>1332</v>
      </c>
      <c r="L2372" s="1" t="s">
        <v>1333</v>
      </c>
      <c r="M2372" s="1" t="s">
        <v>1343</v>
      </c>
      <c r="N2372" s="1" t="s">
        <v>6224</v>
      </c>
      <c r="P2372" s="1" t="s">
        <v>2819</v>
      </c>
      <c r="Q2372" s="3">
        <v>0</v>
      </c>
      <c r="S2372" s="23" t="s">
        <v>5949</v>
      </c>
      <c r="T2372" s="23" t="s">
        <v>4931</v>
      </c>
      <c r="U2372" s="3">
        <v>34</v>
      </c>
      <c r="W2372" s="45" t="str">
        <f>HYPERLINK("http://ictvonline.org/taxonomy/p/taxonomy-history?taxnode_id=201850325","ICTVonline=201850325")</f>
        <v>ICTVonline=201850325</v>
      </c>
      <c r="AA2372" s="1">
        <v>201850000</v>
      </c>
      <c r="AB2372" s="1">
        <v>34</v>
      </c>
    </row>
    <row r="2373" spans="1:28" x14ac:dyDescent="0.15">
      <c r="A2373" s="1">
        <v>6014</v>
      </c>
      <c r="J2373" s="1" t="s">
        <v>1332</v>
      </c>
      <c r="L2373" s="1" t="s">
        <v>1333</v>
      </c>
      <c r="M2373" s="1" t="s">
        <v>1343</v>
      </c>
      <c r="N2373" s="1" t="s">
        <v>6224</v>
      </c>
      <c r="P2373" s="1" t="s">
        <v>6225</v>
      </c>
      <c r="Q2373" s="3">
        <v>0</v>
      </c>
      <c r="S2373" s="23" t="s">
        <v>5949</v>
      </c>
      <c r="T2373" s="23" t="s">
        <v>4929</v>
      </c>
      <c r="U2373" s="3">
        <v>34</v>
      </c>
      <c r="V2373" s="3" t="s">
        <v>6181</v>
      </c>
      <c r="W2373" s="45" t="str">
        <f>HYPERLINK("http://ictvonline.org/taxonomy/p/taxonomy-history?taxnode_id=201857051","ICTVonline=201857051")</f>
        <v>ICTVonline=201857051</v>
      </c>
      <c r="AA2373" s="1">
        <v>201850000</v>
      </c>
      <c r="AB2373" s="1">
        <v>34</v>
      </c>
    </row>
    <row r="2374" spans="1:28" x14ac:dyDescent="0.15">
      <c r="A2374" s="1">
        <v>6016</v>
      </c>
      <c r="J2374" s="1" t="s">
        <v>1332</v>
      </c>
      <c r="L2374" s="1" t="s">
        <v>1333</v>
      </c>
      <c r="M2374" s="1" t="s">
        <v>1343</v>
      </c>
      <c r="N2374" s="1" t="s">
        <v>6224</v>
      </c>
      <c r="P2374" s="1" t="s">
        <v>2820</v>
      </c>
      <c r="Q2374" s="3">
        <v>0</v>
      </c>
      <c r="S2374" s="23" t="s">
        <v>5949</v>
      </c>
      <c r="T2374" s="23" t="s">
        <v>4931</v>
      </c>
      <c r="U2374" s="3">
        <v>34</v>
      </c>
      <c r="W2374" s="45" t="str">
        <f>HYPERLINK("http://ictvonline.org/taxonomy/p/taxonomy-history?taxnode_id=201850326","ICTVonline=201850326")</f>
        <v>ICTVonline=201850326</v>
      </c>
      <c r="AA2374" s="1">
        <v>201850000</v>
      </c>
      <c r="AB2374" s="1">
        <v>34</v>
      </c>
    </row>
    <row r="2375" spans="1:28" x14ac:dyDescent="0.15">
      <c r="A2375" s="1">
        <v>6018</v>
      </c>
      <c r="J2375" s="1" t="s">
        <v>1332</v>
      </c>
      <c r="L2375" s="1" t="s">
        <v>1333</v>
      </c>
      <c r="M2375" s="1" t="s">
        <v>1343</v>
      </c>
      <c r="N2375" s="1" t="s">
        <v>6224</v>
      </c>
      <c r="P2375" s="1" t="s">
        <v>2821</v>
      </c>
      <c r="Q2375" s="3">
        <v>0</v>
      </c>
      <c r="S2375" s="23" t="s">
        <v>5949</v>
      </c>
      <c r="T2375" s="23" t="s">
        <v>4931</v>
      </c>
      <c r="U2375" s="3">
        <v>34</v>
      </c>
      <c r="W2375" s="45" t="str">
        <f>HYPERLINK("http://ictvonline.org/taxonomy/p/taxonomy-history?taxnode_id=201850327","ICTVonline=201850327")</f>
        <v>ICTVonline=201850327</v>
      </c>
      <c r="AA2375" s="1">
        <v>201850000</v>
      </c>
      <c r="AB2375" s="1">
        <v>34</v>
      </c>
    </row>
    <row r="2376" spans="1:28" x14ac:dyDescent="0.15">
      <c r="A2376" s="1">
        <v>6020</v>
      </c>
      <c r="J2376" s="1" t="s">
        <v>1332</v>
      </c>
      <c r="L2376" s="1" t="s">
        <v>1333</v>
      </c>
      <c r="M2376" s="1" t="s">
        <v>1343</v>
      </c>
      <c r="N2376" s="1" t="s">
        <v>6224</v>
      </c>
      <c r="P2376" s="1" t="s">
        <v>4216</v>
      </c>
      <c r="Q2376" s="3">
        <v>0</v>
      </c>
      <c r="S2376" s="23" t="s">
        <v>5949</v>
      </c>
      <c r="T2376" s="23" t="s">
        <v>4931</v>
      </c>
      <c r="U2376" s="3">
        <v>34</v>
      </c>
      <c r="W2376" s="45" t="str">
        <f>HYPERLINK("http://ictvonline.org/taxonomy/p/taxonomy-history?taxnode_id=201850328","ICTVonline=201850328")</f>
        <v>ICTVonline=201850328</v>
      </c>
      <c r="AA2376" s="1">
        <v>201850000</v>
      </c>
      <c r="AB2376" s="1">
        <v>34</v>
      </c>
    </row>
    <row r="2377" spans="1:28" x14ac:dyDescent="0.15">
      <c r="A2377" s="1">
        <v>6022</v>
      </c>
      <c r="J2377" s="1" t="s">
        <v>1332</v>
      </c>
      <c r="L2377" s="1" t="s">
        <v>1333</v>
      </c>
      <c r="M2377" s="1" t="s">
        <v>1343</v>
      </c>
      <c r="N2377" s="1" t="s">
        <v>6224</v>
      </c>
      <c r="P2377" s="1" t="s">
        <v>6226</v>
      </c>
      <c r="Q2377" s="3">
        <v>0</v>
      </c>
      <c r="S2377" s="23" t="s">
        <v>5949</v>
      </c>
      <c r="T2377" s="23" t="s">
        <v>4929</v>
      </c>
      <c r="U2377" s="3">
        <v>34</v>
      </c>
      <c r="V2377" s="3" t="s">
        <v>6181</v>
      </c>
      <c r="W2377" s="45" t="str">
        <f>HYPERLINK("http://ictvonline.org/taxonomy/p/taxonomy-history?taxnode_id=201857049","ICTVonline=201857049")</f>
        <v>ICTVonline=201857049</v>
      </c>
      <c r="AA2377" s="1">
        <v>201850000</v>
      </c>
      <c r="AB2377" s="1">
        <v>34</v>
      </c>
    </row>
    <row r="2378" spans="1:28" x14ac:dyDescent="0.15">
      <c r="A2378" s="1">
        <v>6024</v>
      </c>
      <c r="J2378" s="1" t="s">
        <v>1332</v>
      </c>
      <c r="L2378" s="1" t="s">
        <v>1333</v>
      </c>
      <c r="M2378" s="1" t="s">
        <v>1343</v>
      </c>
      <c r="N2378" s="1" t="s">
        <v>6224</v>
      </c>
      <c r="P2378" s="1" t="s">
        <v>2822</v>
      </c>
      <c r="Q2378" s="3">
        <v>0</v>
      </c>
      <c r="S2378" s="23" t="s">
        <v>5949</v>
      </c>
      <c r="T2378" s="23" t="s">
        <v>4931</v>
      </c>
      <c r="U2378" s="3">
        <v>34</v>
      </c>
      <c r="W2378" s="45" t="str">
        <f>HYPERLINK("http://ictvonline.org/taxonomy/p/taxonomy-history?taxnode_id=201850329","ICTVonline=201850329")</f>
        <v>ICTVonline=201850329</v>
      </c>
      <c r="AA2378" s="1">
        <v>201850000</v>
      </c>
      <c r="AB2378" s="1">
        <v>34</v>
      </c>
    </row>
    <row r="2379" spans="1:28" x14ac:dyDescent="0.15">
      <c r="A2379" s="1">
        <v>6026</v>
      </c>
      <c r="J2379" s="1" t="s">
        <v>1332</v>
      </c>
      <c r="L2379" s="1" t="s">
        <v>1333</v>
      </c>
      <c r="M2379" s="1" t="s">
        <v>1343</v>
      </c>
      <c r="N2379" s="1" t="s">
        <v>6224</v>
      </c>
      <c r="P2379" s="1" t="s">
        <v>2823</v>
      </c>
      <c r="Q2379" s="3">
        <v>0</v>
      </c>
      <c r="S2379" s="23" t="s">
        <v>5949</v>
      </c>
      <c r="T2379" s="23" t="s">
        <v>4931</v>
      </c>
      <c r="U2379" s="3">
        <v>34</v>
      </c>
      <c r="W2379" s="45" t="str">
        <f>HYPERLINK("http://ictvonline.org/taxonomy/p/taxonomy-history?taxnode_id=201850330","ICTVonline=201850330")</f>
        <v>ICTVonline=201850330</v>
      </c>
      <c r="AA2379" s="1">
        <v>201850000</v>
      </c>
      <c r="AB2379" s="1">
        <v>34</v>
      </c>
    </row>
    <row r="2380" spans="1:28" x14ac:dyDescent="0.15">
      <c r="A2380" s="1">
        <v>6028</v>
      </c>
      <c r="J2380" s="1" t="s">
        <v>1332</v>
      </c>
      <c r="L2380" s="1" t="s">
        <v>1333</v>
      </c>
      <c r="M2380" s="1" t="s">
        <v>1343</v>
      </c>
      <c r="N2380" s="1" t="s">
        <v>6224</v>
      </c>
      <c r="P2380" s="1" t="s">
        <v>2824</v>
      </c>
      <c r="Q2380" s="3">
        <v>0</v>
      </c>
      <c r="S2380" s="23" t="s">
        <v>5949</v>
      </c>
      <c r="T2380" s="23" t="s">
        <v>4931</v>
      </c>
      <c r="U2380" s="3">
        <v>34</v>
      </c>
      <c r="W2380" s="45" t="str">
        <f>HYPERLINK("http://ictvonline.org/taxonomy/p/taxonomy-history?taxnode_id=201850331","ICTVonline=201850331")</f>
        <v>ICTVonline=201850331</v>
      </c>
      <c r="AA2380" s="1">
        <v>201850000</v>
      </c>
      <c r="AB2380" s="1">
        <v>34</v>
      </c>
    </row>
    <row r="2381" spans="1:28" x14ac:dyDescent="0.15">
      <c r="A2381" s="1">
        <v>6030</v>
      </c>
      <c r="J2381" s="1" t="s">
        <v>1332</v>
      </c>
      <c r="L2381" s="1" t="s">
        <v>1333</v>
      </c>
      <c r="M2381" s="1" t="s">
        <v>1343</v>
      </c>
      <c r="N2381" s="1" t="s">
        <v>6224</v>
      </c>
      <c r="P2381" s="1" t="s">
        <v>6227</v>
      </c>
      <c r="Q2381" s="3">
        <v>0</v>
      </c>
      <c r="S2381" s="23" t="s">
        <v>5949</v>
      </c>
      <c r="T2381" s="23" t="s">
        <v>4929</v>
      </c>
      <c r="U2381" s="3">
        <v>34</v>
      </c>
      <c r="V2381" s="3" t="s">
        <v>6181</v>
      </c>
      <c r="W2381" s="45" t="str">
        <f>HYPERLINK("http://ictvonline.org/taxonomy/p/taxonomy-history?taxnode_id=201857054","ICTVonline=201857054")</f>
        <v>ICTVonline=201857054</v>
      </c>
      <c r="AA2381" s="1">
        <v>201850000</v>
      </c>
      <c r="AB2381" s="1">
        <v>34</v>
      </c>
    </row>
    <row r="2382" spans="1:28" x14ac:dyDescent="0.15">
      <c r="A2382" s="1">
        <v>6032</v>
      </c>
      <c r="J2382" s="1" t="s">
        <v>1332</v>
      </c>
      <c r="L2382" s="1" t="s">
        <v>1333</v>
      </c>
      <c r="M2382" s="1" t="s">
        <v>1343</v>
      </c>
      <c r="N2382" s="1" t="s">
        <v>6224</v>
      </c>
      <c r="P2382" s="1" t="s">
        <v>6228</v>
      </c>
      <c r="Q2382" s="3">
        <v>0</v>
      </c>
      <c r="S2382" s="23" t="s">
        <v>5949</v>
      </c>
      <c r="T2382" s="23" t="s">
        <v>4929</v>
      </c>
      <c r="U2382" s="3">
        <v>34</v>
      </c>
      <c r="V2382" s="3" t="s">
        <v>6181</v>
      </c>
      <c r="W2382" s="45" t="str">
        <f>HYPERLINK("http://ictvonline.org/taxonomy/p/taxonomy-history?taxnode_id=201857056","ICTVonline=201857056")</f>
        <v>ICTVonline=201857056</v>
      </c>
      <c r="AA2382" s="1">
        <v>201850000</v>
      </c>
      <c r="AB2382" s="1">
        <v>34</v>
      </c>
    </row>
    <row r="2383" spans="1:28" x14ac:dyDescent="0.15">
      <c r="A2383" s="1">
        <v>6034</v>
      </c>
      <c r="J2383" s="1" t="s">
        <v>1332</v>
      </c>
      <c r="L2383" s="1" t="s">
        <v>1333</v>
      </c>
      <c r="M2383" s="1" t="s">
        <v>1343</v>
      </c>
      <c r="N2383" s="1" t="s">
        <v>6224</v>
      </c>
      <c r="P2383" s="1" t="s">
        <v>2825</v>
      </c>
      <c r="Q2383" s="3">
        <v>1</v>
      </c>
      <c r="S2383" s="23" t="s">
        <v>5949</v>
      </c>
      <c r="T2383" s="23" t="s">
        <v>4931</v>
      </c>
      <c r="U2383" s="3">
        <v>34</v>
      </c>
      <c r="W2383" s="45" t="str">
        <f>HYPERLINK("http://ictvonline.org/taxonomy/p/taxonomy-history?taxnode_id=201850332","ICTVonline=201850332")</f>
        <v>ICTVonline=201850332</v>
      </c>
      <c r="AA2383" s="1">
        <v>201850000</v>
      </c>
      <c r="AB2383" s="1">
        <v>34</v>
      </c>
    </row>
    <row r="2384" spans="1:28" x14ac:dyDescent="0.15">
      <c r="A2384" s="1">
        <v>6036</v>
      </c>
      <c r="J2384" s="1" t="s">
        <v>1332</v>
      </c>
      <c r="L2384" s="1" t="s">
        <v>1333</v>
      </c>
      <c r="M2384" s="1" t="s">
        <v>1343</v>
      </c>
      <c r="N2384" s="1" t="s">
        <v>6224</v>
      </c>
      <c r="P2384" s="1" t="s">
        <v>2826</v>
      </c>
      <c r="Q2384" s="3">
        <v>0</v>
      </c>
      <c r="S2384" s="23" t="s">
        <v>5949</v>
      </c>
      <c r="T2384" s="23" t="s">
        <v>4931</v>
      </c>
      <c r="U2384" s="3">
        <v>34</v>
      </c>
      <c r="W2384" s="45" t="str">
        <f>HYPERLINK("http://ictvonline.org/taxonomy/p/taxonomy-history?taxnode_id=201850333","ICTVonline=201850333")</f>
        <v>ICTVonline=201850333</v>
      </c>
      <c r="AA2384" s="1">
        <v>201850000</v>
      </c>
      <c r="AB2384" s="1">
        <v>34</v>
      </c>
    </row>
    <row r="2385" spans="1:28" x14ac:dyDescent="0.15">
      <c r="A2385" s="1">
        <v>6038</v>
      </c>
      <c r="J2385" s="1" t="s">
        <v>1332</v>
      </c>
      <c r="L2385" s="1" t="s">
        <v>1333</v>
      </c>
      <c r="M2385" s="1" t="s">
        <v>1343</v>
      </c>
      <c r="N2385" s="1" t="s">
        <v>6224</v>
      </c>
      <c r="P2385" s="1" t="s">
        <v>6229</v>
      </c>
      <c r="Q2385" s="3">
        <v>0</v>
      </c>
      <c r="S2385" s="23" t="s">
        <v>5949</v>
      </c>
      <c r="T2385" s="23" t="s">
        <v>4929</v>
      </c>
      <c r="U2385" s="3">
        <v>34</v>
      </c>
      <c r="V2385" s="3" t="s">
        <v>6181</v>
      </c>
      <c r="W2385" s="45" t="str">
        <f>HYPERLINK("http://ictvonline.org/taxonomy/p/taxonomy-history?taxnode_id=201857050","ICTVonline=201857050")</f>
        <v>ICTVonline=201857050</v>
      </c>
      <c r="AA2385" s="1">
        <v>201850000</v>
      </c>
      <c r="AB2385" s="1">
        <v>34</v>
      </c>
    </row>
    <row r="2386" spans="1:28" x14ac:dyDescent="0.15">
      <c r="A2386" s="1">
        <v>6040</v>
      </c>
      <c r="J2386" s="1" t="s">
        <v>1332</v>
      </c>
      <c r="L2386" s="1" t="s">
        <v>1333</v>
      </c>
      <c r="M2386" s="1" t="s">
        <v>1343</v>
      </c>
      <c r="N2386" s="1" t="s">
        <v>6224</v>
      </c>
      <c r="P2386" s="1" t="s">
        <v>6230</v>
      </c>
      <c r="Q2386" s="3">
        <v>0</v>
      </c>
      <c r="S2386" s="23" t="s">
        <v>5949</v>
      </c>
      <c r="T2386" s="23" t="s">
        <v>4929</v>
      </c>
      <c r="U2386" s="3">
        <v>34</v>
      </c>
      <c r="V2386" s="3" t="s">
        <v>6181</v>
      </c>
      <c r="W2386" s="45" t="str">
        <f>HYPERLINK("http://ictvonline.org/taxonomy/p/taxonomy-history?taxnode_id=201857052","ICTVonline=201857052")</f>
        <v>ICTVonline=201857052</v>
      </c>
      <c r="AA2386" s="1">
        <v>201850000</v>
      </c>
      <c r="AB2386" s="1">
        <v>34</v>
      </c>
    </row>
    <row r="2387" spans="1:28" x14ac:dyDescent="0.15">
      <c r="A2387" s="1">
        <v>6042</v>
      </c>
      <c r="J2387" s="1" t="s">
        <v>1332</v>
      </c>
      <c r="L2387" s="1" t="s">
        <v>1333</v>
      </c>
      <c r="M2387" s="1" t="s">
        <v>1343</v>
      </c>
      <c r="N2387" s="1" t="s">
        <v>6224</v>
      </c>
      <c r="P2387" s="1" t="s">
        <v>6231</v>
      </c>
      <c r="Q2387" s="3">
        <v>0</v>
      </c>
      <c r="S2387" s="23" t="s">
        <v>5949</v>
      </c>
      <c r="T2387" s="23" t="s">
        <v>4929</v>
      </c>
      <c r="U2387" s="3">
        <v>34</v>
      </c>
      <c r="V2387" s="3" t="s">
        <v>6181</v>
      </c>
      <c r="W2387" s="45" t="str">
        <f>HYPERLINK("http://ictvonline.org/taxonomy/p/taxonomy-history?taxnode_id=201857053","ICTVonline=201857053")</f>
        <v>ICTVonline=201857053</v>
      </c>
      <c r="AA2387" s="1">
        <v>201850000</v>
      </c>
      <c r="AB2387" s="1">
        <v>34</v>
      </c>
    </row>
    <row r="2388" spans="1:28" x14ac:dyDescent="0.15">
      <c r="A2388" s="1">
        <v>6044</v>
      </c>
      <c r="J2388" s="1" t="s">
        <v>1332</v>
      </c>
      <c r="L2388" s="1" t="s">
        <v>1333</v>
      </c>
      <c r="M2388" s="1" t="s">
        <v>1343</v>
      </c>
      <c r="N2388" s="1" t="s">
        <v>6224</v>
      </c>
      <c r="P2388" s="1" t="s">
        <v>6232</v>
      </c>
      <c r="Q2388" s="3">
        <v>0</v>
      </c>
      <c r="S2388" s="23" t="s">
        <v>5949</v>
      </c>
      <c r="T2388" s="23" t="s">
        <v>4929</v>
      </c>
      <c r="U2388" s="3">
        <v>34</v>
      </c>
      <c r="V2388" s="3" t="s">
        <v>6181</v>
      </c>
      <c r="W2388" s="45" t="str">
        <f>HYPERLINK("http://ictvonline.org/taxonomy/p/taxonomy-history?taxnode_id=201857055","ICTVonline=201857055")</f>
        <v>ICTVonline=201857055</v>
      </c>
      <c r="AA2388" s="1">
        <v>201850000</v>
      </c>
      <c r="AB2388" s="1">
        <v>34</v>
      </c>
    </row>
    <row r="2389" spans="1:28" x14ac:dyDescent="0.15">
      <c r="A2389" s="1">
        <v>6046</v>
      </c>
      <c r="J2389" s="1" t="s">
        <v>1332</v>
      </c>
      <c r="L2389" s="1" t="s">
        <v>1333</v>
      </c>
      <c r="M2389" s="1" t="s">
        <v>1343</v>
      </c>
      <c r="N2389" s="1" t="s">
        <v>6224</v>
      </c>
      <c r="P2389" s="1" t="s">
        <v>2827</v>
      </c>
      <c r="Q2389" s="3">
        <v>0</v>
      </c>
      <c r="S2389" s="23" t="s">
        <v>5949</v>
      </c>
      <c r="T2389" s="23" t="s">
        <v>4931</v>
      </c>
      <c r="U2389" s="3">
        <v>34</v>
      </c>
      <c r="W2389" s="45" t="str">
        <f>HYPERLINK("http://ictvonline.org/taxonomy/p/taxonomy-history?taxnode_id=201850334","ICTVonline=201850334")</f>
        <v>ICTVonline=201850334</v>
      </c>
      <c r="AA2389" s="1">
        <v>201850000</v>
      </c>
      <c r="AB2389" s="1">
        <v>34</v>
      </c>
    </row>
    <row r="2390" spans="1:28" x14ac:dyDescent="0.15">
      <c r="A2390" s="1">
        <v>6048</v>
      </c>
      <c r="J2390" s="1" t="s">
        <v>1332</v>
      </c>
      <c r="L2390" s="1" t="s">
        <v>1333</v>
      </c>
      <c r="M2390" s="1" t="s">
        <v>1343</v>
      </c>
      <c r="N2390" s="1" t="s">
        <v>6224</v>
      </c>
      <c r="P2390" s="1" t="s">
        <v>2828</v>
      </c>
      <c r="Q2390" s="3">
        <v>0</v>
      </c>
      <c r="S2390" s="23" t="s">
        <v>5949</v>
      </c>
      <c r="T2390" s="23" t="s">
        <v>4931</v>
      </c>
      <c r="U2390" s="3">
        <v>34</v>
      </c>
      <c r="W2390" s="45" t="str">
        <f>HYPERLINK("http://ictvonline.org/taxonomy/p/taxonomy-history?taxnode_id=201850335","ICTVonline=201850335")</f>
        <v>ICTVonline=201850335</v>
      </c>
      <c r="AA2390" s="1">
        <v>201850000</v>
      </c>
      <c r="AB2390" s="1">
        <v>34</v>
      </c>
    </row>
    <row r="2391" spans="1:28" x14ac:dyDescent="0.15">
      <c r="A2391" s="1">
        <v>6050</v>
      </c>
      <c r="J2391" s="1" t="s">
        <v>1332</v>
      </c>
      <c r="L2391" s="1" t="s">
        <v>1333</v>
      </c>
      <c r="M2391" s="1" t="s">
        <v>1343</v>
      </c>
      <c r="N2391" s="1" t="s">
        <v>6224</v>
      </c>
      <c r="P2391" s="1" t="s">
        <v>2829</v>
      </c>
      <c r="Q2391" s="3">
        <v>0</v>
      </c>
      <c r="S2391" s="23" t="s">
        <v>5949</v>
      </c>
      <c r="T2391" s="23" t="s">
        <v>4931</v>
      </c>
      <c r="U2391" s="3">
        <v>34</v>
      </c>
      <c r="W2391" s="45" t="str">
        <f>HYPERLINK("http://ictvonline.org/taxonomy/p/taxonomy-history?taxnode_id=201850336","ICTVonline=201850336")</f>
        <v>ICTVonline=201850336</v>
      </c>
      <c r="AA2391" s="1">
        <v>201850000</v>
      </c>
      <c r="AB2391" s="1">
        <v>34</v>
      </c>
    </row>
    <row r="2392" spans="1:28" x14ac:dyDescent="0.15">
      <c r="A2392" s="1">
        <v>6053</v>
      </c>
      <c r="J2392" s="1" t="s">
        <v>1332</v>
      </c>
      <c r="L2392" s="1" t="s">
        <v>1333</v>
      </c>
      <c r="M2392" s="1" t="s">
        <v>1343</v>
      </c>
      <c r="P2392" s="1" t="s">
        <v>2830</v>
      </c>
      <c r="Q2392" s="3">
        <v>0</v>
      </c>
      <c r="S2392" s="23" t="s">
        <v>5949</v>
      </c>
      <c r="W2392" s="45" t="str">
        <f>HYPERLINK("http://ictvonline.org/taxonomy/p/taxonomy-history?taxnode_id=201850338","ICTVonline=201850338")</f>
        <v>ICTVonline=201850338</v>
      </c>
      <c r="AA2392" s="1">
        <v>201850000</v>
      </c>
      <c r="AB2392" s="1">
        <v>34</v>
      </c>
    </row>
    <row r="2393" spans="1:28" x14ac:dyDescent="0.15">
      <c r="A2393" s="1">
        <v>6055</v>
      </c>
      <c r="J2393" s="1" t="s">
        <v>1332</v>
      </c>
      <c r="L2393" s="1" t="s">
        <v>1333</v>
      </c>
      <c r="M2393" s="1" t="s">
        <v>1343</v>
      </c>
      <c r="P2393" s="1" t="s">
        <v>2831</v>
      </c>
      <c r="Q2393" s="3">
        <v>0</v>
      </c>
      <c r="S2393" s="23" t="s">
        <v>5949</v>
      </c>
      <c r="W2393" s="45" t="str">
        <f>HYPERLINK("http://ictvonline.org/taxonomy/p/taxonomy-history?taxnode_id=201850339","ICTVonline=201850339")</f>
        <v>ICTVonline=201850339</v>
      </c>
      <c r="AA2393" s="1">
        <v>201850000</v>
      </c>
      <c r="AB2393" s="1">
        <v>34</v>
      </c>
    </row>
    <row r="2394" spans="1:28" x14ac:dyDescent="0.15">
      <c r="A2394" s="1">
        <v>6057</v>
      </c>
      <c r="J2394" s="1" t="s">
        <v>1332</v>
      </c>
      <c r="L2394" s="1" t="s">
        <v>1333</v>
      </c>
      <c r="M2394" s="1" t="s">
        <v>1343</v>
      </c>
      <c r="P2394" s="1" t="s">
        <v>2832</v>
      </c>
      <c r="Q2394" s="3">
        <v>0</v>
      </c>
      <c r="S2394" s="23" t="s">
        <v>5949</v>
      </c>
      <c r="W2394" s="45" t="str">
        <f>HYPERLINK("http://ictvonline.org/taxonomy/p/taxonomy-history?taxnode_id=201850340","ICTVonline=201850340")</f>
        <v>ICTVonline=201850340</v>
      </c>
      <c r="AA2394" s="1">
        <v>201850000</v>
      </c>
      <c r="AB2394" s="1">
        <v>34</v>
      </c>
    </row>
    <row r="2395" spans="1:28" x14ac:dyDescent="0.15">
      <c r="A2395" s="1">
        <v>6059</v>
      </c>
      <c r="J2395" s="1" t="s">
        <v>1332</v>
      </c>
      <c r="L2395" s="1" t="s">
        <v>1333</v>
      </c>
      <c r="M2395" s="1" t="s">
        <v>1343</v>
      </c>
      <c r="P2395" s="1" t="s">
        <v>2833</v>
      </c>
      <c r="Q2395" s="3">
        <v>0</v>
      </c>
      <c r="S2395" s="23" t="s">
        <v>5949</v>
      </c>
      <c r="W2395" s="45" t="str">
        <f>HYPERLINK("http://ictvonline.org/taxonomy/p/taxonomy-history?taxnode_id=201850341","ICTVonline=201850341")</f>
        <v>ICTVonline=201850341</v>
      </c>
      <c r="AA2395" s="1">
        <v>201850000</v>
      </c>
      <c r="AB2395" s="1">
        <v>34</v>
      </c>
    </row>
    <row r="2396" spans="1:28" x14ac:dyDescent="0.15">
      <c r="A2396" s="1">
        <v>6061</v>
      </c>
      <c r="J2396" s="1" t="s">
        <v>1332</v>
      </c>
      <c r="L2396" s="1" t="s">
        <v>1333</v>
      </c>
      <c r="M2396" s="1" t="s">
        <v>1343</v>
      </c>
      <c r="P2396" s="1" t="s">
        <v>2834</v>
      </c>
      <c r="Q2396" s="3">
        <v>0</v>
      </c>
      <c r="S2396" s="23" t="s">
        <v>5949</v>
      </c>
      <c r="W2396" s="45" t="str">
        <f>HYPERLINK("http://ictvonline.org/taxonomy/p/taxonomy-history?taxnode_id=201850342","ICTVonline=201850342")</f>
        <v>ICTVonline=201850342</v>
      </c>
      <c r="AA2396" s="1">
        <v>201850000</v>
      </c>
      <c r="AB2396" s="1">
        <v>34</v>
      </c>
    </row>
    <row r="2397" spans="1:28" x14ac:dyDescent="0.15">
      <c r="A2397" s="1">
        <v>6063</v>
      </c>
      <c r="J2397" s="1" t="s">
        <v>1332</v>
      </c>
      <c r="L2397" s="1" t="s">
        <v>1333</v>
      </c>
      <c r="M2397" s="1" t="s">
        <v>1343</v>
      </c>
      <c r="P2397" s="1" t="s">
        <v>2835</v>
      </c>
      <c r="Q2397" s="3">
        <v>0</v>
      </c>
      <c r="S2397" s="23" t="s">
        <v>5949</v>
      </c>
      <c r="W2397" s="45" t="str">
        <f>HYPERLINK("http://ictvonline.org/taxonomy/p/taxonomy-history?taxnode_id=201850343","ICTVonline=201850343")</f>
        <v>ICTVonline=201850343</v>
      </c>
      <c r="AA2397" s="1">
        <v>201850000</v>
      </c>
      <c r="AB2397" s="1">
        <v>34</v>
      </c>
    </row>
    <row r="2398" spans="1:28" x14ac:dyDescent="0.15">
      <c r="A2398" s="1">
        <v>6065</v>
      </c>
      <c r="J2398" s="1" t="s">
        <v>1332</v>
      </c>
      <c r="L2398" s="1" t="s">
        <v>1333</v>
      </c>
      <c r="M2398" s="1" t="s">
        <v>1343</v>
      </c>
      <c r="P2398" s="1" t="s">
        <v>2836</v>
      </c>
      <c r="Q2398" s="3">
        <v>0</v>
      </c>
      <c r="S2398" s="23" t="s">
        <v>5949</v>
      </c>
      <c r="W2398" s="45" t="str">
        <f>HYPERLINK("http://ictvonline.org/taxonomy/p/taxonomy-history?taxnode_id=201850344","ICTVonline=201850344")</f>
        <v>ICTVonline=201850344</v>
      </c>
      <c r="AA2398" s="1">
        <v>201850000</v>
      </c>
      <c r="AB2398" s="1">
        <v>34</v>
      </c>
    </row>
    <row r="2399" spans="1:28" x14ac:dyDescent="0.15">
      <c r="A2399" s="1">
        <v>6070</v>
      </c>
      <c r="J2399" s="1" t="s">
        <v>1332</v>
      </c>
      <c r="L2399" s="1" t="s">
        <v>1333</v>
      </c>
      <c r="M2399" s="1" t="s">
        <v>2837</v>
      </c>
      <c r="N2399" s="1" t="s">
        <v>6233</v>
      </c>
      <c r="P2399" s="1" t="s">
        <v>6234</v>
      </c>
      <c r="Q2399" s="3">
        <v>1</v>
      </c>
      <c r="S2399" s="23" t="s">
        <v>5949</v>
      </c>
      <c r="T2399" s="23" t="s">
        <v>4929</v>
      </c>
      <c r="U2399" s="3">
        <v>34</v>
      </c>
      <c r="V2399" s="3" t="s">
        <v>6235</v>
      </c>
      <c r="W2399" s="45" t="str">
        <f>HYPERLINK("http://ictvonline.org/taxonomy/p/taxonomy-history?taxnode_id=201857080","ICTVonline=201857080")</f>
        <v>ICTVonline=201857080</v>
      </c>
      <c r="AA2399" s="1">
        <v>201850000</v>
      </c>
      <c r="AB2399" s="1">
        <v>34</v>
      </c>
    </row>
    <row r="2400" spans="1:28" x14ac:dyDescent="0.15">
      <c r="A2400" s="1">
        <v>6074</v>
      </c>
      <c r="J2400" s="1" t="s">
        <v>1332</v>
      </c>
      <c r="L2400" s="1" t="s">
        <v>1333</v>
      </c>
      <c r="M2400" s="1" t="s">
        <v>2837</v>
      </c>
      <c r="N2400" s="1" t="s">
        <v>6236</v>
      </c>
      <c r="P2400" s="1" t="s">
        <v>2838</v>
      </c>
      <c r="Q2400" s="3">
        <v>1</v>
      </c>
      <c r="S2400" s="23" t="s">
        <v>5949</v>
      </c>
      <c r="T2400" s="23" t="s">
        <v>4931</v>
      </c>
      <c r="U2400" s="3">
        <v>34</v>
      </c>
      <c r="W2400" s="45" t="str">
        <f>HYPERLINK("http://ictvonline.org/taxonomy/p/taxonomy-history?taxnode_id=201850347","ICTVonline=201850347")</f>
        <v>ICTVonline=201850347</v>
      </c>
      <c r="AA2400" s="1">
        <v>201850000</v>
      </c>
      <c r="AB2400" s="1">
        <v>34</v>
      </c>
    </row>
    <row r="2401" spans="1:28" x14ac:dyDescent="0.15">
      <c r="A2401" s="1">
        <v>6076</v>
      </c>
      <c r="J2401" s="1" t="s">
        <v>1332</v>
      </c>
      <c r="L2401" s="1" t="s">
        <v>1333</v>
      </c>
      <c r="M2401" s="1" t="s">
        <v>2837</v>
      </c>
      <c r="N2401" s="1" t="s">
        <v>6236</v>
      </c>
      <c r="P2401" s="1" t="s">
        <v>2839</v>
      </c>
      <c r="Q2401" s="3">
        <v>0</v>
      </c>
      <c r="S2401" s="23" t="s">
        <v>5949</v>
      </c>
      <c r="T2401" s="23" t="s">
        <v>4931</v>
      </c>
      <c r="U2401" s="3">
        <v>34</v>
      </c>
      <c r="W2401" s="45" t="str">
        <f>HYPERLINK("http://ictvonline.org/taxonomy/p/taxonomy-history?taxnode_id=201850348","ICTVonline=201850348")</f>
        <v>ICTVonline=201850348</v>
      </c>
      <c r="AA2401" s="1">
        <v>201850000</v>
      </c>
      <c r="AB2401" s="1">
        <v>34</v>
      </c>
    </row>
    <row r="2402" spans="1:28" x14ac:dyDescent="0.15">
      <c r="A2402" s="1">
        <v>6078</v>
      </c>
      <c r="J2402" s="1" t="s">
        <v>1332</v>
      </c>
      <c r="L2402" s="1" t="s">
        <v>1333</v>
      </c>
      <c r="M2402" s="1" t="s">
        <v>2837</v>
      </c>
      <c r="N2402" s="1" t="s">
        <v>6236</v>
      </c>
      <c r="P2402" s="1" t="s">
        <v>2840</v>
      </c>
      <c r="Q2402" s="3">
        <v>0</v>
      </c>
      <c r="S2402" s="23" t="s">
        <v>5949</v>
      </c>
      <c r="T2402" s="23" t="s">
        <v>4931</v>
      </c>
      <c r="U2402" s="3">
        <v>34</v>
      </c>
      <c r="W2402" s="45" t="str">
        <f>HYPERLINK("http://ictvonline.org/taxonomy/p/taxonomy-history?taxnode_id=201850349","ICTVonline=201850349")</f>
        <v>ICTVonline=201850349</v>
      </c>
      <c r="AA2402" s="1">
        <v>201850000</v>
      </c>
      <c r="AB2402" s="1">
        <v>34</v>
      </c>
    </row>
    <row r="2403" spans="1:28" x14ac:dyDescent="0.15">
      <c r="A2403" s="1">
        <v>6080</v>
      </c>
      <c r="J2403" s="1" t="s">
        <v>1332</v>
      </c>
      <c r="L2403" s="1" t="s">
        <v>1333</v>
      </c>
      <c r="M2403" s="1" t="s">
        <v>2837</v>
      </c>
      <c r="N2403" s="1" t="s">
        <v>6236</v>
      </c>
      <c r="P2403" s="1" t="s">
        <v>4217</v>
      </c>
      <c r="Q2403" s="3">
        <v>0</v>
      </c>
      <c r="S2403" s="23" t="s">
        <v>5949</v>
      </c>
      <c r="T2403" s="23" t="s">
        <v>4931</v>
      </c>
      <c r="U2403" s="3">
        <v>34</v>
      </c>
      <c r="W2403" s="45" t="str">
        <f>HYPERLINK("http://ictvonline.org/taxonomy/p/taxonomy-history?taxnode_id=201850350","ICTVonline=201850350")</f>
        <v>ICTVonline=201850350</v>
      </c>
      <c r="AA2403" s="1">
        <v>201850000</v>
      </c>
      <c r="AB2403" s="1">
        <v>34</v>
      </c>
    </row>
    <row r="2404" spans="1:28" x14ac:dyDescent="0.15">
      <c r="A2404" s="1">
        <v>6082</v>
      </c>
      <c r="J2404" s="1" t="s">
        <v>1332</v>
      </c>
      <c r="L2404" s="1" t="s">
        <v>1333</v>
      </c>
      <c r="M2404" s="1" t="s">
        <v>2837</v>
      </c>
      <c r="N2404" s="1" t="s">
        <v>6236</v>
      </c>
      <c r="P2404" s="1" t="s">
        <v>4218</v>
      </c>
      <c r="Q2404" s="3">
        <v>0</v>
      </c>
      <c r="S2404" s="23" t="s">
        <v>5949</v>
      </c>
      <c r="T2404" s="23" t="s">
        <v>4931</v>
      </c>
      <c r="U2404" s="3">
        <v>34</v>
      </c>
      <c r="W2404" s="45" t="str">
        <f>HYPERLINK("http://ictvonline.org/taxonomy/p/taxonomy-history?taxnode_id=201850351","ICTVonline=201850351")</f>
        <v>ICTVonline=201850351</v>
      </c>
      <c r="AA2404" s="1">
        <v>201850000</v>
      </c>
      <c r="AB2404" s="1">
        <v>34</v>
      </c>
    </row>
    <row r="2405" spans="1:28" x14ac:dyDescent="0.15">
      <c r="A2405" s="1">
        <v>6086</v>
      </c>
      <c r="J2405" s="1" t="s">
        <v>1332</v>
      </c>
      <c r="L2405" s="1" t="s">
        <v>1333</v>
      </c>
      <c r="M2405" s="1" t="s">
        <v>2837</v>
      </c>
      <c r="N2405" s="1" t="s">
        <v>6237</v>
      </c>
      <c r="P2405" s="1" t="s">
        <v>2841</v>
      </c>
      <c r="Q2405" s="3">
        <v>0</v>
      </c>
      <c r="S2405" s="23" t="s">
        <v>5949</v>
      </c>
      <c r="T2405" s="23" t="s">
        <v>4931</v>
      </c>
      <c r="U2405" s="3">
        <v>34</v>
      </c>
      <c r="W2405" s="45" t="str">
        <f>HYPERLINK("http://ictvonline.org/taxonomy/p/taxonomy-history?taxnode_id=201850353","ICTVonline=201850353")</f>
        <v>ICTVonline=201850353</v>
      </c>
      <c r="AA2405" s="1">
        <v>201850000</v>
      </c>
      <c r="AB2405" s="1">
        <v>34</v>
      </c>
    </row>
    <row r="2406" spans="1:28" x14ac:dyDescent="0.15">
      <c r="A2406" s="1">
        <v>6088</v>
      </c>
      <c r="J2406" s="1" t="s">
        <v>1332</v>
      </c>
      <c r="L2406" s="1" t="s">
        <v>1333</v>
      </c>
      <c r="M2406" s="1" t="s">
        <v>2837</v>
      </c>
      <c r="N2406" s="1" t="s">
        <v>6237</v>
      </c>
      <c r="P2406" s="1" t="s">
        <v>2842</v>
      </c>
      <c r="Q2406" s="3">
        <v>0</v>
      </c>
      <c r="S2406" s="23" t="s">
        <v>5949</v>
      </c>
      <c r="T2406" s="23" t="s">
        <v>4931</v>
      </c>
      <c r="U2406" s="3">
        <v>34</v>
      </c>
      <c r="W2406" s="45" t="str">
        <f>HYPERLINK("http://ictvonline.org/taxonomy/p/taxonomy-history?taxnode_id=201850354","ICTVonline=201850354")</f>
        <v>ICTVonline=201850354</v>
      </c>
      <c r="AA2406" s="1">
        <v>201850000</v>
      </c>
      <c r="AB2406" s="1">
        <v>34</v>
      </c>
    </row>
    <row r="2407" spans="1:28" x14ac:dyDescent="0.15">
      <c r="A2407" s="1">
        <v>6090</v>
      </c>
      <c r="J2407" s="1" t="s">
        <v>1332</v>
      </c>
      <c r="L2407" s="1" t="s">
        <v>1333</v>
      </c>
      <c r="M2407" s="1" t="s">
        <v>2837</v>
      </c>
      <c r="N2407" s="1" t="s">
        <v>6237</v>
      </c>
      <c r="P2407" s="1" t="s">
        <v>6238</v>
      </c>
      <c r="Q2407" s="3">
        <v>1</v>
      </c>
      <c r="S2407" s="23" t="s">
        <v>5949</v>
      </c>
      <c r="T2407" s="23" t="s">
        <v>4930</v>
      </c>
      <c r="U2407" s="3">
        <v>34</v>
      </c>
      <c r="V2407" s="3" t="s">
        <v>6239</v>
      </c>
      <c r="W2407" s="45" t="str">
        <f>HYPERLINK("http://ictvonline.org/taxonomy/p/taxonomy-history?taxnode_id=201850355","ICTVonline=201850355")</f>
        <v>ICTVonline=201850355</v>
      </c>
      <c r="AA2407" s="1">
        <v>201850000</v>
      </c>
      <c r="AB2407" s="1">
        <v>34</v>
      </c>
    </row>
    <row r="2408" spans="1:28" x14ac:dyDescent="0.15">
      <c r="A2408" s="1">
        <v>6092</v>
      </c>
      <c r="J2408" s="1" t="s">
        <v>1332</v>
      </c>
      <c r="L2408" s="1" t="s">
        <v>1333</v>
      </c>
      <c r="M2408" s="1" t="s">
        <v>2837</v>
      </c>
      <c r="N2408" s="1" t="s">
        <v>6237</v>
      </c>
      <c r="P2408" s="1" t="s">
        <v>2843</v>
      </c>
      <c r="Q2408" s="3">
        <v>0</v>
      </c>
      <c r="S2408" s="23" t="s">
        <v>5949</v>
      </c>
      <c r="T2408" s="23" t="s">
        <v>4931</v>
      </c>
      <c r="U2408" s="3">
        <v>34</v>
      </c>
      <c r="W2408" s="45" t="str">
        <f>HYPERLINK("http://ictvonline.org/taxonomy/p/taxonomy-history?taxnode_id=201850356","ICTVonline=201850356")</f>
        <v>ICTVonline=201850356</v>
      </c>
      <c r="AA2408" s="1">
        <v>201850000</v>
      </c>
      <c r="AB2408" s="1">
        <v>34</v>
      </c>
    </row>
    <row r="2409" spans="1:28" x14ac:dyDescent="0.15">
      <c r="A2409" s="1">
        <v>6096</v>
      </c>
      <c r="J2409" s="1" t="s">
        <v>1332</v>
      </c>
      <c r="L2409" s="1" t="s">
        <v>1333</v>
      </c>
      <c r="M2409" s="1" t="s">
        <v>2837</v>
      </c>
      <c r="N2409" s="1" t="s">
        <v>6240</v>
      </c>
      <c r="P2409" s="1" t="s">
        <v>6241</v>
      </c>
      <c r="Q2409" s="3">
        <v>0</v>
      </c>
      <c r="S2409" s="23" t="s">
        <v>5949</v>
      </c>
      <c r="T2409" s="23" t="s">
        <v>4929</v>
      </c>
      <c r="U2409" s="3">
        <v>34</v>
      </c>
      <c r="V2409" s="3" t="s">
        <v>6235</v>
      </c>
      <c r="W2409" s="45" t="str">
        <f>HYPERLINK("http://ictvonline.org/taxonomy/p/taxonomy-history?taxnode_id=201857083","ICTVonline=201857083")</f>
        <v>ICTVonline=201857083</v>
      </c>
      <c r="AA2409" s="1">
        <v>201850000</v>
      </c>
      <c r="AB2409" s="1">
        <v>34</v>
      </c>
    </row>
    <row r="2410" spans="1:28" x14ac:dyDescent="0.15">
      <c r="A2410" s="1">
        <v>6098</v>
      </c>
      <c r="J2410" s="1" t="s">
        <v>1332</v>
      </c>
      <c r="L2410" s="1" t="s">
        <v>1333</v>
      </c>
      <c r="M2410" s="1" t="s">
        <v>2837</v>
      </c>
      <c r="N2410" s="1" t="s">
        <v>6240</v>
      </c>
      <c r="P2410" s="1" t="s">
        <v>2844</v>
      </c>
      <c r="Q2410" s="3">
        <v>0</v>
      </c>
      <c r="S2410" s="23" t="s">
        <v>5949</v>
      </c>
      <c r="T2410" s="23" t="s">
        <v>4931</v>
      </c>
      <c r="U2410" s="3">
        <v>34</v>
      </c>
      <c r="W2410" s="45" t="str">
        <f>HYPERLINK("http://ictvonline.org/taxonomy/p/taxonomy-history?taxnode_id=201850358","ICTVonline=201850358")</f>
        <v>ICTVonline=201850358</v>
      </c>
      <c r="AA2410" s="1">
        <v>201850000</v>
      </c>
      <c r="AB2410" s="1">
        <v>34</v>
      </c>
    </row>
    <row r="2411" spans="1:28" x14ac:dyDescent="0.15">
      <c r="A2411" s="1">
        <v>6100</v>
      </c>
      <c r="J2411" s="1" t="s">
        <v>1332</v>
      </c>
      <c r="L2411" s="1" t="s">
        <v>1333</v>
      </c>
      <c r="M2411" s="1" t="s">
        <v>2837</v>
      </c>
      <c r="N2411" s="1" t="s">
        <v>6240</v>
      </c>
      <c r="P2411" s="1" t="s">
        <v>2845</v>
      </c>
      <c r="Q2411" s="3">
        <v>0</v>
      </c>
      <c r="S2411" s="23" t="s">
        <v>5949</v>
      </c>
      <c r="T2411" s="23" t="s">
        <v>4931</v>
      </c>
      <c r="U2411" s="3">
        <v>34</v>
      </c>
      <c r="W2411" s="45" t="str">
        <f>HYPERLINK("http://ictvonline.org/taxonomy/p/taxonomy-history?taxnode_id=201850359","ICTVonline=201850359")</f>
        <v>ICTVonline=201850359</v>
      </c>
      <c r="AA2411" s="1">
        <v>201850000</v>
      </c>
      <c r="AB2411" s="1">
        <v>34</v>
      </c>
    </row>
    <row r="2412" spans="1:28" x14ac:dyDescent="0.15">
      <c r="A2412" s="1">
        <v>6102</v>
      </c>
      <c r="J2412" s="1" t="s">
        <v>1332</v>
      </c>
      <c r="L2412" s="1" t="s">
        <v>1333</v>
      </c>
      <c r="M2412" s="1" t="s">
        <v>2837</v>
      </c>
      <c r="N2412" s="1" t="s">
        <v>6240</v>
      </c>
      <c r="P2412" s="1" t="s">
        <v>2846</v>
      </c>
      <c r="Q2412" s="3">
        <v>0</v>
      </c>
      <c r="S2412" s="23" t="s">
        <v>5949</v>
      </c>
      <c r="T2412" s="23" t="s">
        <v>4931</v>
      </c>
      <c r="U2412" s="3">
        <v>34</v>
      </c>
      <c r="W2412" s="45" t="str">
        <f>HYPERLINK("http://ictvonline.org/taxonomy/p/taxonomy-history?taxnode_id=201850360","ICTVonline=201850360")</f>
        <v>ICTVonline=201850360</v>
      </c>
      <c r="AA2412" s="1">
        <v>201850000</v>
      </c>
      <c r="AB2412" s="1">
        <v>34</v>
      </c>
    </row>
    <row r="2413" spans="1:28" x14ac:dyDescent="0.15">
      <c r="A2413" s="1">
        <v>6104</v>
      </c>
      <c r="J2413" s="1" t="s">
        <v>1332</v>
      </c>
      <c r="L2413" s="1" t="s">
        <v>1333</v>
      </c>
      <c r="M2413" s="1" t="s">
        <v>2837</v>
      </c>
      <c r="N2413" s="1" t="s">
        <v>6240</v>
      </c>
      <c r="P2413" s="1" t="s">
        <v>6242</v>
      </c>
      <c r="Q2413" s="3">
        <v>0</v>
      </c>
      <c r="S2413" s="23" t="s">
        <v>5949</v>
      </c>
      <c r="T2413" s="23" t="s">
        <v>4929</v>
      </c>
      <c r="U2413" s="3">
        <v>34</v>
      </c>
      <c r="V2413" s="3" t="s">
        <v>6235</v>
      </c>
      <c r="W2413" s="45" t="str">
        <f>HYPERLINK("http://ictvonline.org/taxonomy/p/taxonomy-history?taxnode_id=201857082","ICTVonline=201857082")</f>
        <v>ICTVonline=201857082</v>
      </c>
      <c r="AA2413" s="1">
        <v>201850000</v>
      </c>
      <c r="AB2413" s="1">
        <v>34</v>
      </c>
    </row>
    <row r="2414" spans="1:28" x14ac:dyDescent="0.15">
      <c r="A2414" s="1">
        <v>6106</v>
      </c>
      <c r="J2414" s="1" t="s">
        <v>1332</v>
      </c>
      <c r="L2414" s="1" t="s">
        <v>1333</v>
      </c>
      <c r="M2414" s="1" t="s">
        <v>2837</v>
      </c>
      <c r="N2414" s="1" t="s">
        <v>6240</v>
      </c>
      <c r="P2414" s="1" t="s">
        <v>6243</v>
      </c>
      <c r="Q2414" s="3">
        <v>0</v>
      </c>
      <c r="S2414" s="23" t="s">
        <v>5949</v>
      </c>
      <c r="T2414" s="23" t="s">
        <v>4929</v>
      </c>
      <c r="U2414" s="3">
        <v>34</v>
      </c>
      <c r="V2414" s="3" t="s">
        <v>6235</v>
      </c>
      <c r="W2414" s="45" t="str">
        <f>HYPERLINK("http://ictvonline.org/taxonomy/p/taxonomy-history?taxnode_id=201857081","ICTVonline=201857081")</f>
        <v>ICTVonline=201857081</v>
      </c>
      <c r="AA2414" s="1">
        <v>201850000</v>
      </c>
      <c r="AB2414" s="1">
        <v>34</v>
      </c>
    </row>
    <row r="2415" spans="1:28" x14ac:dyDescent="0.15">
      <c r="A2415" s="1">
        <v>6108</v>
      </c>
      <c r="J2415" s="1" t="s">
        <v>1332</v>
      </c>
      <c r="L2415" s="1" t="s">
        <v>1333</v>
      </c>
      <c r="M2415" s="1" t="s">
        <v>2837</v>
      </c>
      <c r="N2415" s="1" t="s">
        <v>6240</v>
      </c>
      <c r="P2415" s="1" t="s">
        <v>2847</v>
      </c>
      <c r="Q2415" s="3">
        <v>1</v>
      </c>
      <c r="S2415" s="23" t="s">
        <v>5949</v>
      </c>
      <c r="T2415" s="23" t="s">
        <v>4931</v>
      </c>
      <c r="U2415" s="3">
        <v>34</v>
      </c>
      <c r="W2415" s="45" t="str">
        <f>HYPERLINK("http://ictvonline.org/taxonomy/p/taxonomy-history?taxnode_id=201850361","ICTVonline=201850361")</f>
        <v>ICTVonline=201850361</v>
      </c>
      <c r="AA2415" s="1">
        <v>201850000</v>
      </c>
      <c r="AB2415" s="1">
        <v>34</v>
      </c>
    </row>
    <row r="2416" spans="1:28" x14ac:dyDescent="0.15">
      <c r="A2416" s="1">
        <v>6110</v>
      </c>
      <c r="J2416" s="1" t="s">
        <v>1332</v>
      </c>
      <c r="L2416" s="1" t="s">
        <v>1333</v>
      </c>
      <c r="M2416" s="1" t="s">
        <v>2837</v>
      </c>
      <c r="N2416" s="1" t="s">
        <v>6240</v>
      </c>
      <c r="P2416" s="1" t="s">
        <v>6244</v>
      </c>
      <c r="Q2416" s="3">
        <v>0</v>
      </c>
      <c r="S2416" s="23" t="s">
        <v>5949</v>
      </c>
      <c r="T2416" s="23" t="s">
        <v>4929</v>
      </c>
      <c r="U2416" s="3">
        <v>34</v>
      </c>
      <c r="V2416" s="3" t="s">
        <v>6235</v>
      </c>
      <c r="W2416" s="45" t="str">
        <f>HYPERLINK("http://ictvonline.org/taxonomy/p/taxonomy-history?taxnode_id=201857084","ICTVonline=201857084")</f>
        <v>ICTVonline=201857084</v>
      </c>
      <c r="AA2416" s="1">
        <v>201850000</v>
      </c>
      <c r="AB2416" s="1">
        <v>34</v>
      </c>
    </row>
    <row r="2417" spans="1:28" x14ac:dyDescent="0.15">
      <c r="A2417" s="1">
        <v>6115</v>
      </c>
      <c r="J2417" s="1" t="s">
        <v>1332</v>
      </c>
      <c r="L2417" s="1" t="s">
        <v>1333</v>
      </c>
      <c r="N2417" s="1" t="s">
        <v>4219</v>
      </c>
      <c r="P2417" s="1" t="s">
        <v>4220</v>
      </c>
      <c r="Q2417" s="3">
        <v>1</v>
      </c>
      <c r="S2417" s="23" t="s">
        <v>5949</v>
      </c>
      <c r="W2417" s="45" t="str">
        <f>HYPERLINK("http://ictvonline.org/taxonomy/p/taxonomy-history?taxnode_id=201850364","ICTVonline=201850364")</f>
        <v>ICTVonline=201850364</v>
      </c>
      <c r="AA2417" s="1">
        <v>201850000</v>
      </c>
      <c r="AB2417" s="1">
        <v>34</v>
      </c>
    </row>
    <row r="2418" spans="1:28" x14ac:dyDescent="0.15">
      <c r="A2418" s="1">
        <v>6117</v>
      </c>
      <c r="J2418" s="1" t="s">
        <v>1332</v>
      </c>
      <c r="L2418" s="1" t="s">
        <v>1333</v>
      </c>
      <c r="N2418" s="1" t="s">
        <v>4219</v>
      </c>
      <c r="P2418" s="1" t="s">
        <v>4221</v>
      </c>
      <c r="Q2418" s="3">
        <v>0</v>
      </c>
      <c r="S2418" s="23" t="s">
        <v>5949</v>
      </c>
      <c r="W2418" s="45" t="str">
        <f>HYPERLINK("http://ictvonline.org/taxonomy/p/taxonomy-history?taxnode_id=201850365","ICTVonline=201850365")</f>
        <v>ICTVonline=201850365</v>
      </c>
      <c r="AA2418" s="1">
        <v>201850000</v>
      </c>
      <c r="AB2418" s="1">
        <v>34</v>
      </c>
    </row>
    <row r="2419" spans="1:28" x14ac:dyDescent="0.15">
      <c r="A2419" s="1">
        <v>6121</v>
      </c>
      <c r="J2419" s="1" t="s">
        <v>1332</v>
      </c>
      <c r="L2419" s="1" t="s">
        <v>1333</v>
      </c>
      <c r="N2419" s="1" t="s">
        <v>6245</v>
      </c>
      <c r="P2419" s="1" t="s">
        <v>4222</v>
      </c>
      <c r="Q2419" s="3">
        <v>0</v>
      </c>
      <c r="S2419" s="23" t="s">
        <v>5949</v>
      </c>
      <c r="T2419" s="23" t="s">
        <v>4931</v>
      </c>
      <c r="U2419" s="3">
        <v>34</v>
      </c>
      <c r="W2419" s="45" t="str">
        <f>HYPERLINK("http://ictvonline.org/taxonomy/p/taxonomy-history?taxnode_id=201850371","ICTVonline=201850371")</f>
        <v>ICTVonline=201850371</v>
      </c>
      <c r="AA2419" s="1">
        <v>201850000</v>
      </c>
      <c r="AB2419" s="1">
        <v>34</v>
      </c>
    </row>
    <row r="2420" spans="1:28" x14ac:dyDescent="0.15">
      <c r="A2420" s="1">
        <v>6123</v>
      </c>
      <c r="J2420" s="1" t="s">
        <v>1332</v>
      </c>
      <c r="L2420" s="1" t="s">
        <v>1333</v>
      </c>
      <c r="N2420" s="1" t="s">
        <v>6245</v>
      </c>
      <c r="P2420" s="1" t="s">
        <v>6246</v>
      </c>
      <c r="Q2420" s="3">
        <v>0</v>
      </c>
      <c r="S2420" s="23" t="s">
        <v>5949</v>
      </c>
      <c r="T2420" s="23" t="s">
        <v>4929</v>
      </c>
      <c r="U2420" s="3">
        <v>34</v>
      </c>
      <c r="V2420" s="3" t="s">
        <v>6181</v>
      </c>
      <c r="W2420" s="45" t="str">
        <f>HYPERLINK("http://ictvonline.org/taxonomy/p/taxonomy-history?taxnode_id=201856995","ICTVonline=201856995")</f>
        <v>ICTVonline=201856995</v>
      </c>
      <c r="AA2420" s="1">
        <v>201850000</v>
      </c>
      <c r="AB2420" s="1">
        <v>34</v>
      </c>
    </row>
    <row r="2421" spans="1:28" x14ac:dyDescent="0.15">
      <c r="A2421" s="1">
        <v>6125</v>
      </c>
      <c r="J2421" s="1" t="s">
        <v>1332</v>
      </c>
      <c r="L2421" s="1" t="s">
        <v>1333</v>
      </c>
      <c r="N2421" s="1" t="s">
        <v>6245</v>
      </c>
      <c r="P2421" s="1" t="s">
        <v>4223</v>
      </c>
      <c r="Q2421" s="3">
        <v>1</v>
      </c>
      <c r="S2421" s="23" t="s">
        <v>5949</v>
      </c>
      <c r="T2421" s="23" t="s">
        <v>4931</v>
      </c>
      <c r="U2421" s="3">
        <v>34</v>
      </c>
      <c r="W2421" s="45" t="str">
        <f>HYPERLINK("http://ictvonline.org/taxonomy/p/taxonomy-history?taxnode_id=201850372","ICTVonline=201850372")</f>
        <v>ICTVonline=201850372</v>
      </c>
      <c r="AA2421" s="1">
        <v>201850000</v>
      </c>
      <c r="AB2421" s="1">
        <v>34</v>
      </c>
    </row>
    <row r="2422" spans="1:28" x14ac:dyDescent="0.15">
      <c r="A2422" s="1">
        <v>6127</v>
      </c>
      <c r="J2422" s="1" t="s">
        <v>1332</v>
      </c>
      <c r="L2422" s="1" t="s">
        <v>1333</v>
      </c>
      <c r="N2422" s="1" t="s">
        <v>6245</v>
      </c>
      <c r="P2422" s="1" t="s">
        <v>4224</v>
      </c>
      <c r="Q2422" s="3">
        <v>0</v>
      </c>
      <c r="S2422" s="23" t="s">
        <v>5949</v>
      </c>
      <c r="T2422" s="23" t="s">
        <v>4931</v>
      </c>
      <c r="U2422" s="3">
        <v>34</v>
      </c>
      <c r="W2422" s="45" t="str">
        <f>HYPERLINK("http://ictvonline.org/taxonomy/p/taxonomy-history?taxnode_id=201850373","ICTVonline=201850373")</f>
        <v>ICTVonline=201850373</v>
      </c>
      <c r="AA2422" s="1">
        <v>201850000</v>
      </c>
      <c r="AB2422" s="1">
        <v>34</v>
      </c>
    </row>
    <row r="2423" spans="1:28" x14ac:dyDescent="0.15">
      <c r="A2423" s="1">
        <v>6129</v>
      </c>
      <c r="J2423" s="1" t="s">
        <v>1332</v>
      </c>
      <c r="L2423" s="1" t="s">
        <v>1333</v>
      </c>
      <c r="N2423" s="1" t="s">
        <v>6245</v>
      </c>
      <c r="P2423" s="1" t="s">
        <v>4225</v>
      </c>
      <c r="Q2423" s="3">
        <v>0</v>
      </c>
      <c r="S2423" s="23" t="s">
        <v>5949</v>
      </c>
      <c r="T2423" s="23" t="s">
        <v>4931</v>
      </c>
      <c r="U2423" s="3">
        <v>34</v>
      </c>
      <c r="W2423" s="45" t="str">
        <f>HYPERLINK("http://ictvonline.org/taxonomy/p/taxonomy-history?taxnode_id=201850374","ICTVonline=201850374")</f>
        <v>ICTVonline=201850374</v>
      </c>
      <c r="AA2423" s="1">
        <v>201850000</v>
      </c>
      <c r="AB2423" s="1">
        <v>34</v>
      </c>
    </row>
    <row r="2424" spans="1:28" x14ac:dyDescent="0.15">
      <c r="A2424" s="1">
        <v>6131</v>
      </c>
      <c r="J2424" s="1" t="s">
        <v>1332</v>
      </c>
      <c r="L2424" s="1" t="s">
        <v>1333</v>
      </c>
      <c r="N2424" s="1" t="s">
        <v>6245</v>
      </c>
      <c r="P2424" s="1" t="s">
        <v>4226</v>
      </c>
      <c r="Q2424" s="3">
        <v>0</v>
      </c>
      <c r="S2424" s="23" t="s">
        <v>5949</v>
      </c>
      <c r="T2424" s="23" t="s">
        <v>4931</v>
      </c>
      <c r="U2424" s="3">
        <v>34</v>
      </c>
      <c r="W2424" s="45" t="str">
        <f>HYPERLINK("http://ictvonline.org/taxonomy/p/taxonomy-history?taxnode_id=201850375","ICTVonline=201850375")</f>
        <v>ICTVonline=201850375</v>
      </c>
      <c r="AA2424" s="1">
        <v>201850000</v>
      </c>
      <c r="AB2424" s="1">
        <v>34</v>
      </c>
    </row>
    <row r="2425" spans="1:28" x14ac:dyDescent="0.15">
      <c r="A2425" s="1">
        <v>6135</v>
      </c>
      <c r="J2425" s="1" t="s">
        <v>1332</v>
      </c>
      <c r="L2425" s="1" t="s">
        <v>1333</v>
      </c>
      <c r="N2425" s="1" t="s">
        <v>6247</v>
      </c>
      <c r="P2425" s="1" t="s">
        <v>6248</v>
      </c>
      <c r="Q2425" s="3">
        <v>1</v>
      </c>
      <c r="S2425" s="23" t="s">
        <v>5949</v>
      </c>
      <c r="T2425" s="23" t="s">
        <v>4929</v>
      </c>
      <c r="U2425" s="3">
        <v>34</v>
      </c>
      <c r="V2425" s="3" t="s">
        <v>6249</v>
      </c>
      <c r="W2425" s="45" t="str">
        <f>HYPERLINK("http://ictvonline.org/taxonomy/p/taxonomy-history?taxnode_id=201856654","ICTVonline=201856654")</f>
        <v>ICTVonline=201856654</v>
      </c>
      <c r="AA2425" s="1">
        <v>201850000</v>
      </c>
      <c r="AB2425" s="1">
        <v>34</v>
      </c>
    </row>
    <row r="2426" spans="1:28" x14ac:dyDescent="0.15">
      <c r="A2426" s="1">
        <v>6137</v>
      </c>
      <c r="J2426" s="1" t="s">
        <v>1332</v>
      </c>
      <c r="L2426" s="1" t="s">
        <v>1333</v>
      </c>
      <c r="N2426" s="1" t="s">
        <v>6247</v>
      </c>
      <c r="P2426" s="1" t="s">
        <v>6250</v>
      </c>
      <c r="Q2426" s="3">
        <v>0</v>
      </c>
      <c r="S2426" s="23" t="s">
        <v>5949</v>
      </c>
      <c r="T2426" s="23" t="s">
        <v>4929</v>
      </c>
      <c r="U2426" s="3">
        <v>34</v>
      </c>
      <c r="V2426" s="3" t="s">
        <v>6249</v>
      </c>
      <c r="W2426" s="45" t="str">
        <f>HYPERLINK("http://ictvonline.org/taxonomy/p/taxonomy-history?taxnode_id=201856655","ICTVonline=201856655")</f>
        <v>ICTVonline=201856655</v>
      </c>
      <c r="AA2426" s="1">
        <v>201850000</v>
      </c>
      <c r="AB2426" s="1">
        <v>34</v>
      </c>
    </row>
    <row r="2427" spans="1:28" x14ac:dyDescent="0.15">
      <c r="A2427" s="1">
        <v>6141</v>
      </c>
      <c r="J2427" s="1" t="s">
        <v>1332</v>
      </c>
      <c r="L2427" s="1" t="s">
        <v>1333</v>
      </c>
      <c r="N2427" s="1" t="s">
        <v>6251</v>
      </c>
      <c r="P2427" s="1" t="s">
        <v>6252</v>
      </c>
      <c r="Q2427" s="3">
        <v>1</v>
      </c>
      <c r="S2427" s="23" t="s">
        <v>5949</v>
      </c>
      <c r="T2427" s="23" t="s">
        <v>4929</v>
      </c>
      <c r="U2427" s="3">
        <v>34</v>
      </c>
      <c r="V2427" s="3" t="s">
        <v>6253</v>
      </c>
      <c r="W2427" s="45" t="str">
        <f>HYPERLINK("http://ictvonline.org/taxonomy/p/taxonomy-history?taxnode_id=201856799","ICTVonline=201856799")</f>
        <v>ICTVonline=201856799</v>
      </c>
      <c r="AA2427" s="1">
        <v>201850000</v>
      </c>
      <c r="AB2427" s="1">
        <v>34</v>
      </c>
    </row>
    <row r="2428" spans="1:28" x14ac:dyDescent="0.15">
      <c r="A2428" s="1">
        <v>6145</v>
      </c>
      <c r="J2428" s="1" t="s">
        <v>1332</v>
      </c>
      <c r="L2428" s="1" t="s">
        <v>1333</v>
      </c>
      <c r="N2428" s="1" t="s">
        <v>6254</v>
      </c>
      <c r="P2428" s="1" t="s">
        <v>6255</v>
      </c>
      <c r="Q2428" s="3">
        <v>0</v>
      </c>
      <c r="S2428" s="23" t="s">
        <v>5949</v>
      </c>
      <c r="T2428" s="23" t="s">
        <v>4929</v>
      </c>
      <c r="U2428" s="3">
        <v>34</v>
      </c>
      <c r="V2428" s="3" t="s">
        <v>6256</v>
      </c>
      <c r="W2428" s="45" t="str">
        <f>HYPERLINK("http://ictvonline.org/taxonomy/p/taxonomy-history?taxnode_id=201856660","ICTVonline=201856660")</f>
        <v>ICTVonline=201856660</v>
      </c>
      <c r="AA2428" s="1">
        <v>201850000</v>
      </c>
      <c r="AB2428" s="1">
        <v>34</v>
      </c>
    </row>
    <row r="2429" spans="1:28" x14ac:dyDescent="0.15">
      <c r="A2429" s="1">
        <v>6147</v>
      </c>
      <c r="J2429" s="1" t="s">
        <v>1332</v>
      </c>
      <c r="L2429" s="1" t="s">
        <v>1333</v>
      </c>
      <c r="N2429" s="1" t="s">
        <v>6254</v>
      </c>
      <c r="P2429" s="1" t="s">
        <v>6257</v>
      </c>
      <c r="Q2429" s="3">
        <v>1</v>
      </c>
      <c r="S2429" s="23" t="s">
        <v>5949</v>
      </c>
      <c r="T2429" s="23" t="s">
        <v>4929</v>
      </c>
      <c r="U2429" s="3">
        <v>34</v>
      </c>
      <c r="V2429" s="3" t="s">
        <v>6256</v>
      </c>
      <c r="W2429" s="45" t="str">
        <f>HYPERLINK("http://ictvonline.org/taxonomy/p/taxonomy-history?taxnode_id=201856659","ICTVonline=201856659")</f>
        <v>ICTVonline=201856659</v>
      </c>
      <c r="AA2429" s="1">
        <v>201850000</v>
      </c>
      <c r="AB2429" s="1">
        <v>34</v>
      </c>
    </row>
    <row r="2430" spans="1:28" x14ac:dyDescent="0.15">
      <c r="A2430" s="1">
        <v>6151</v>
      </c>
      <c r="J2430" s="1" t="s">
        <v>1332</v>
      </c>
      <c r="L2430" s="1" t="s">
        <v>1333</v>
      </c>
      <c r="N2430" s="1" t="s">
        <v>2873</v>
      </c>
      <c r="P2430" s="1" t="s">
        <v>2874</v>
      </c>
      <c r="Q2430" s="3">
        <v>1</v>
      </c>
      <c r="S2430" s="23" t="s">
        <v>5949</v>
      </c>
      <c r="W2430" s="45" t="str">
        <f>HYPERLINK("http://ictvonline.org/taxonomy/p/taxonomy-history?taxnode_id=201850408","ICTVonline=201850408")</f>
        <v>ICTVonline=201850408</v>
      </c>
      <c r="AA2430" s="1">
        <v>201850000</v>
      </c>
      <c r="AB2430" s="1">
        <v>34</v>
      </c>
    </row>
    <row r="2431" spans="1:28" x14ac:dyDescent="0.15">
      <c r="A2431" s="1">
        <v>6153</v>
      </c>
      <c r="J2431" s="1" t="s">
        <v>1332</v>
      </c>
      <c r="L2431" s="1" t="s">
        <v>1333</v>
      </c>
      <c r="N2431" s="1" t="s">
        <v>2873</v>
      </c>
      <c r="P2431" s="1" t="s">
        <v>2875</v>
      </c>
      <c r="Q2431" s="3">
        <v>0</v>
      </c>
      <c r="S2431" s="23" t="s">
        <v>5949</v>
      </c>
      <c r="W2431" s="45" t="str">
        <f>HYPERLINK("http://ictvonline.org/taxonomy/p/taxonomy-history?taxnode_id=201850409","ICTVonline=201850409")</f>
        <v>ICTVonline=201850409</v>
      </c>
      <c r="AA2431" s="1">
        <v>201850000</v>
      </c>
      <c r="AB2431" s="1">
        <v>34</v>
      </c>
    </row>
    <row r="2432" spans="1:28" x14ac:dyDescent="0.15">
      <c r="A2432" s="1">
        <v>6157</v>
      </c>
      <c r="J2432" s="1" t="s">
        <v>1332</v>
      </c>
      <c r="L2432" s="1" t="s">
        <v>1333</v>
      </c>
      <c r="N2432" s="1" t="s">
        <v>6258</v>
      </c>
      <c r="P2432" s="1" t="s">
        <v>4229</v>
      </c>
      <c r="Q2432" s="3">
        <v>0</v>
      </c>
      <c r="S2432" s="23" t="s">
        <v>5949</v>
      </c>
      <c r="T2432" s="23" t="s">
        <v>4931</v>
      </c>
      <c r="U2432" s="3">
        <v>34</v>
      </c>
      <c r="W2432" s="45" t="str">
        <f>HYPERLINK("http://ictvonline.org/taxonomy/p/taxonomy-history?taxnode_id=201850385","ICTVonline=201850385")</f>
        <v>ICTVonline=201850385</v>
      </c>
      <c r="AA2432" s="1">
        <v>201850000</v>
      </c>
      <c r="AB2432" s="1">
        <v>34</v>
      </c>
    </row>
    <row r="2433" spans="1:28" x14ac:dyDescent="0.15">
      <c r="A2433" s="1">
        <v>6159</v>
      </c>
      <c r="J2433" s="1" t="s">
        <v>1332</v>
      </c>
      <c r="L2433" s="1" t="s">
        <v>1333</v>
      </c>
      <c r="N2433" s="1" t="s">
        <v>6258</v>
      </c>
      <c r="P2433" s="1" t="s">
        <v>2856</v>
      </c>
      <c r="Q2433" s="3">
        <v>1</v>
      </c>
      <c r="S2433" s="23" t="s">
        <v>5949</v>
      </c>
      <c r="T2433" s="23" t="s">
        <v>4931</v>
      </c>
      <c r="U2433" s="3">
        <v>34</v>
      </c>
      <c r="W2433" s="45" t="str">
        <f>HYPERLINK("http://ictvonline.org/taxonomy/p/taxonomy-history?taxnode_id=201850386","ICTVonline=201850386")</f>
        <v>ICTVonline=201850386</v>
      </c>
      <c r="AA2433" s="1">
        <v>201850000</v>
      </c>
      <c r="AB2433" s="1">
        <v>34</v>
      </c>
    </row>
    <row r="2434" spans="1:28" x14ac:dyDescent="0.15">
      <c r="A2434" s="1">
        <v>6161</v>
      </c>
      <c r="J2434" s="1" t="s">
        <v>1332</v>
      </c>
      <c r="L2434" s="1" t="s">
        <v>1333</v>
      </c>
      <c r="N2434" s="1" t="s">
        <v>6258</v>
      </c>
      <c r="P2434" s="1" t="s">
        <v>2857</v>
      </c>
      <c r="Q2434" s="3">
        <v>0</v>
      </c>
      <c r="S2434" s="23" t="s">
        <v>5949</v>
      </c>
      <c r="T2434" s="23" t="s">
        <v>4931</v>
      </c>
      <c r="U2434" s="3">
        <v>34</v>
      </c>
      <c r="W2434" s="45" t="str">
        <f>HYPERLINK("http://ictvonline.org/taxonomy/p/taxonomy-history?taxnode_id=201850387","ICTVonline=201850387")</f>
        <v>ICTVonline=201850387</v>
      </c>
      <c r="AA2434" s="1">
        <v>201850000</v>
      </c>
      <c r="AB2434" s="1">
        <v>34</v>
      </c>
    </row>
    <row r="2435" spans="1:28" x14ac:dyDescent="0.15">
      <c r="A2435" s="1">
        <v>6163</v>
      </c>
      <c r="J2435" s="1" t="s">
        <v>1332</v>
      </c>
      <c r="L2435" s="1" t="s">
        <v>1333</v>
      </c>
      <c r="N2435" s="1" t="s">
        <v>6258</v>
      </c>
      <c r="P2435" s="1" t="s">
        <v>2858</v>
      </c>
      <c r="Q2435" s="3">
        <v>0</v>
      </c>
      <c r="S2435" s="23" t="s">
        <v>5949</v>
      </c>
      <c r="T2435" s="23" t="s">
        <v>4931</v>
      </c>
      <c r="U2435" s="3">
        <v>34</v>
      </c>
      <c r="W2435" s="45" t="str">
        <f>HYPERLINK("http://ictvonline.org/taxonomy/p/taxonomy-history?taxnode_id=201850388","ICTVonline=201850388")</f>
        <v>ICTVonline=201850388</v>
      </c>
      <c r="AA2435" s="1">
        <v>201850000</v>
      </c>
      <c r="AB2435" s="1">
        <v>34</v>
      </c>
    </row>
    <row r="2436" spans="1:28" x14ac:dyDescent="0.15">
      <c r="A2436" s="1">
        <v>6165</v>
      </c>
      <c r="J2436" s="1" t="s">
        <v>1332</v>
      </c>
      <c r="L2436" s="1" t="s">
        <v>1333</v>
      </c>
      <c r="N2436" s="1" t="s">
        <v>6258</v>
      </c>
      <c r="P2436" s="1" t="s">
        <v>2859</v>
      </c>
      <c r="Q2436" s="3">
        <v>0</v>
      </c>
      <c r="S2436" s="23" t="s">
        <v>5949</v>
      </c>
      <c r="T2436" s="23" t="s">
        <v>4931</v>
      </c>
      <c r="U2436" s="3">
        <v>34</v>
      </c>
      <c r="W2436" s="45" t="str">
        <f>HYPERLINK("http://ictvonline.org/taxonomy/p/taxonomy-history?taxnode_id=201850389","ICTVonline=201850389")</f>
        <v>ICTVonline=201850389</v>
      </c>
      <c r="AA2436" s="1">
        <v>201850000</v>
      </c>
      <c r="AB2436" s="1">
        <v>34</v>
      </c>
    </row>
    <row r="2437" spans="1:28" x14ac:dyDescent="0.15">
      <c r="A2437" s="1">
        <v>6167</v>
      </c>
      <c r="J2437" s="1" t="s">
        <v>1332</v>
      </c>
      <c r="L2437" s="1" t="s">
        <v>1333</v>
      </c>
      <c r="N2437" s="1" t="s">
        <v>6258</v>
      </c>
      <c r="P2437" s="1" t="s">
        <v>2860</v>
      </c>
      <c r="Q2437" s="3">
        <v>0</v>
      </c>
      <c r="S2437" s="23" t="s">
        <v>5949</v>
      </c>
      <c r="T2437" s="23" t="s">
        <v>4931</v>
      </c>
      <c r="U2437" s="3">
        <v>34</v>
      </c>
      <c r="W2437" s="45" t="str">
        <f>HYPERLINK("http://ictvonline.org/taxonomy/p/taxonomy-history?taxnode_id=201850390","ICTVonline=201850390")</f>
        <v>ICTVonline=201850390</v>
      </c>
      <c r="AA2437" s="1">
        <v>201850000</v>
      </c>
      <c r="AB2437" s="1">
        <v>34</v>
      </c>
    </row>
    <row r="2438" spans="1:28" x14ac:dyDescent="0.15">
      <c r="A2438" s="1">
        <v>6171</v>
      </c>
      <c r="J2438" s="1" t="s">
        <v>1332</v>
      </c>
      <c r="L2438" s="1" t="s">
        <v>1333</v>
      </c>
      <c r="N2438" s="1" t="s">
        <v>2876</v>
      </c>
      <c r="P2438" s="1" t="s">
        <v>2877</v>
      </c>
      <c r="Q2438" s="3">
        <v>1</v>
      </c>
      <c r="S2438" s="23" t="s">
        <v>5949</v>
      </c>
      <c r="W2438" s="45" t="str">
        <f>HYPERLINK("http://ictvonline.org/taxonomy/p/taxonomy-history?taxnode_id=201850411","ICTVonline=201850411")</f>
        <v>ICTVonline=201850411</v>
      </c>
      <c r="AA2438" s="1">
        <v>201850000</v>
      </c>
      <c r="AB2438" s="1">
        <v>34</v>
      </c>
    </row>
    <row r="2439" spans="1:28" x14ac:dyDescent="0.15">
      <c r="A2439" s="1">
        <v>6175</v>
      </c>
      <c r="J2439" s="1" t="s">
        <v>1332</v>
      </c>
      <c r="L2439" s="1" t="s">
        <v>1333</v>
      </c>
      <c r="N2439" s="1" t="s">
        <v>6259</v>
      </c>
      <c r="P2439" s="1" t="s">
        <v>4232</v>
      </c>
      <c r="Q2439" s="3">
        <v>0</v>
      </c>
      <c r="S2439" s="23" t="s">
        <v>5949</v>
      </c>
      <c r="T2439" s="23" t="s">
        <v>4931</v>
      </c>
      <c r="U2439" s="3">
        <v>34</v>
      </c>
      <c r="W2439" s="45" t="str">
        <f>HYPERLINK("http://ictvonline.org/taxonomy/p/taxonomy-history?taxnode_id=201850413","ICTVonline=201850413")</f>
        <v>ICTVonline=201850413</v>
      </c>
      <c r="AA2439" s="1">
        <v>201850000</v>
      </c>
      <c r="AB2439" s="1">
        <v>34</v>
      </c>
    </row>
    <row r="2440" spans="1:28" x14ac:dyDescent="0.15">
      <c r="A2440" s="1">
        <v>6177</v>
      </c>
      <c r="J2440" s="1" t="s">
        <v>1332</v>
      </c>
      <c r="L2440" s="1" t="s">
        <v>1333</v>
      </c>
      <c r="N2440" s="1" t="s">
        <v>6259</v>
      </c>
      <c r="P2440" s="1" t="s">
        <v>4233</v>
      </c>
      <c r="Q2440" s="3">
        <v>0</v>
      </c>
      <c r="S2440" s="23" t="s">
        <v>5949</v>
      </c>
      <c r="T2440" s="23" t="s">
        <v>4931</v>
      </c>
      <c r="U2440" s="3">
        <v>34</v>
      </c>
      <c r="W2440" s="45" t="str">
        <f>HYPERLINK("http://ictvonline.org/taxonomy/p/taxonomy-history?taxnode_id=201850414","ICTVonline=201850414")</f>
        <v>ICTVonline=201850414</v>
      </c>
      <c r="AA2440" s="1">
        <v>201850000</v>
      </c>
      <c r="AB2440" s="1">
        <v>34</v>
      </c>
    </row>
    <row r="2441" spans="1:28" x14ac:dyDescent="0.15">
      <c r="A2441" s="1">
        <v>6179</v>
      </c>
      <c r="J2441" s="1" t="s">
        <v>1332</v>
      </c>
      <c r="L2441" s="1" t="s">
        <v>1333</v>
      </c>
      <c r="N2441" s="1" t="s">
        <v>6259</v>
      </c>
      <c r="P2441" s="1" t="s">
        <v>4234</v>
      </c>
      <c r="Q2441" s="3">
        <v>0</v>
      </c>
      <c r="S2441" s="23" t="s">
        <v>5949</v>
      </c>
      <c r="T2441" s="23" t="s">
        <v>4931</v>
      </c>
      <c r="U2441" s="3">
        <v>34</v>
      </c>
      <c r="W2441" s="45" t="str">
        <f>HYPERLINK("http://ictvonline.org/taxonomy/p/taxonomy-history?taxnode_id=201850415","ICTVonline=201850415")</f>
        <v>ICTVonline=201850415</v>
      </c>
      <c r="AA2441" s="1">
        <v>201850000</v>
      </c>
      <c r="AB2441" s="1">
        <v>34</v>
      </c>
    </row>
    <row r="2442" spans="1:28" x14ac:dyDescent="0.15">
      <c r="A2442" s="1">
        <v>6181</v>
      </c>
      <c r="J2442" s="1" t="s">
        <v>1332</v>
      </c>
      <c r="L2442" s="1" t="s">
        <v>1333</v>
      </c>
      <c r="N2442" s="1" t="s">
        <v>6259</v>
      </c>
      <c r="P2442" s="1" t="s">
        <v>4235</v>
      </c>
      <c r="Q2442" s="3">
        <v>0</v>
      </c>
      <c r="S2442" s="23" t="s">
        <v>5949</v>
      </c>
      <c r="T2442" s="23" t="s">
        <v>4931</v>
      </c>
      <c r="U2442" s="3">
        <v>34</v>
      </c>
      <c r="W2442" s="45" t="str">
        <f>HYPERLINK("http://ictvonline.org/taxonomy/p/taxonomy-history?taxnode_id=201850416","ICTVonline=201850416")</f>
        <v>ICTVonline=201850416</v>
      </c>
      <c r="AA2442" s="1">
        <v>201850000</v>
      </c>
      <c r="AB2442" s="1">
        <v>34</v>
      </c>
    </row>
    <row r="2443" spans="1:28" x14ac:dyDescent="0.15">
      <c r="A2443" s="1">
        <v>6183</v>
      </c>
      <c r="J2443" s="1" t="s">
        <v>1332</v>
      </c>
      <c r="L2443" s="1" t="s">
        <v>1333</v>
      </c>
      <c r="N2443" s="1" t="s">
        <v>6259</v>
      </c>
      <c r="P2443" s="1" t="s">
        <v>2878</v>
      </c>
      <c r="Q2443" s="3">
        <v>1</v>
      </c>
      <c r="S2443" s="23" t="s">
        <v>5949</v>
      </c>
      <c r="T2443" s="23" t="s">
        <v>4931</v>
      </c>
      <c r="U2443" s="3">
        <v>34</v>
      </c>
      <c r="W2443" s="45" t="str">
        <f>HYPERLINK("http://ictvonline.org/taxonomy/p/taxonomy-history?taxnode_id=201850417","ICTVonline=201850417")</f>
        <v>ICTVonline=201850417</v>
      </c>
      <c r="AA2443" s="1">
        <v>201850000</v>
      </c>
      <c r="AB2443" s="1">
        <v>34</v>
      </c>
    </row>
    <row r="2444" spans="1:28" x14ac:dyDescent="0.15">
      <c r="A2444" s="1">
        <v>6185</v>
      </c>
      <c r="J2444" s="1" t="s">
        <v>1332</v>
      </c>
      <c r="L2444" s="1" t="s">
        <v>1333</v>
      </c>
      <c r="N2444" s="1" t="s">
        <v>6259</v>
      </c>
      <c r="P2444" s="1" t="s">
        <v>6260</v>
      </c>
      <c r="Q2444" s="3">
        <v>0</v>
      </c>
      <c r="S2444" s="23" t="s">
        <v>5949</v>
      </c>
      <c r="T2444" s="23" t="s">
        <v>4929</v>
      </c>
      <c r="U2444" s="3">
        <v>34</v>
      </c>
      <c r="V2444" s="3" t="s">
        <v>6181</v>
      </c>
      <c r="W2444" s="45" t="str">
        <f>HYPERLINK("http://ictvonline.org/taxonomy/p/taxonomy-history?taxnode_id=201856997","ICTVonline=201856997")</f>
        <v>ICTVonline=201856997</v>
      </c>
      <c r="AA2444" s="1">
        <v>201850000</v>
      </c>
      <c r="AB2444" s="1">
        <v>34</v>
      </c>
    </row>
    <row r="2445" spans="1:28" x14ac:dyDescent="0.15">
      <c r="A2445" s="1">
        <v>6187</v>
      </c>
      <c r="J2445" s="1" t="s">
        <v>1332</v>
      </c>
      <c r="L2445" s="1" t="s">
        <v>1333</v>
      </c>
      <c r="N2445" s="1" t="s">
        <v>6259</v>
      </c>
      <c r="P2445" s="1" t="s">
        <v>4236</v>
      </c>
      <c r="Q2445" s="3">
        <v>0</v>
      </c>
      <c r="S2445" s="23" t="s">
        <v>5949</v>
      </c>
      <c r="T2445" s="23" t="s">
        <v>4931</v>
      </c>
      <c r="U2445" s="3">
        <v>34</v>
      </c>
      <c r="W2445" s="45" t="str">
        <f>HYPERLINK("http://ictvonline.org/taxonomy/p/taxonomy-history?taxnode_id=201850418","ICTVonline=201850418")</f>
        <v>ICTVonline=201850418</v>
      </c>
      <c r="AA2445" s="1">
        <v>201850000</v>
      </c>
      <c r="AB2445" s="1">
        <v>34</v>
      </c>
    </row>
    <row r="2446" spans="1:28" x14ac:dyDescent="0.15">
      <c r="A2446" s="1">
        <v>6189</v>
      </c>
      <c r="J2446" s="1" t="s">
        <v>1332</v>
      </c>
      <c r="L2446" s="1" t="s">
        <v>1333</v>
      </c>
      <c r="N2446" s="1" t="s">
        <v>6259</v>
      </c>
      <c r="P2446" s="1" t="s">
        <v>4237</v>
      </c>
      <c r="Q2446" s="3">
        <v>0</v>
      </c>
      <c r="S2446" s="23" t="s">
        <v>5949</v>
      </c>
      <c r="T2446" s="23" t="s">
        <v>4931</v>
      </c>
      <c r="U2446" s="3">
        <v>34</v>
      </c>
      <c r="W2446" s="45" t="str">
        <f>HYPERLINK("http://ictvonline.org/taxonomy/p/taxonomy-history?taxnode_id=201850419","ICTVonline=201850419")</f>
        <v>ICTVonline=201850419</v>
      </c>
      <c r="AA2446" s="1">
        <v>201850000</v>
      </c>
      <c r="AB2446" s="1">
        <v>34</v>
      </c>
    </row>
    <row r="2447" spans="1:28" x14ac:dyDescent="0.15">
      <c r="A2447" s="1">
        <v>6193</v>
      </c>
      <c r="J2447" s="1" t="s">
        <v>1332</v>
      </c>
      <c r="L2447" s="1" t="s">
        <v>1333</v>
      </c>
      <c r="N2447" s="1" t="s">
        <v>6261</v>
      </c>
      <c r="P2447" s="1" t="s">
        <v>6262</v>
      </c>
      <c r="Q2447" s="3">
        <v>1</v>
      </c>
      <c r="S2447" s="23" t="s">
        <v>5949</v>
      </c>
      <c r="T2447" s="23" t="s">
        <v>4929</v>
      </c>
      <c r="U2447" s="3">
        <v>34</v>
      </c>
      <c r="V2447" s="3" t="s">
        <v>6263</v>
      </c>
      <c r="W2447" s="45" t="str">
        <f>HYPERLINK("http://ictvonline.org/taxonomy/p/taxonomy-history?taxnode_id=201856810","ICTVonline=201856810")</f>
        <v>ICTVonline=201856810</v>
      </c>
      <c r="AA2447" s="1">
        <v>201850000</v>
      </c>
      <c r="AB2447" s="1">
        <v>34</v>
      </c>
    </row>
    <row r="2448" spans="1:28" x14ac:dyDescent="0.15">
      <c r="A2448" s="1">
        <v>6197</v>
      </c>
      <c r="J2448" s="1" t="s">
        <v>1332</v>
      </c>
      <c r="L2448" s="1" t="s">
        <v>1333</v>
      </c>
      <c r="N2448" s="1" t="s">
        <v>6264</v>
      </c>
      <c r="P2448" s="1" t="s">
        <v>6265</v>
      </c>
      <c r="Q2448" s="3">
        <v>1</v>
      </c>
      <c r="S2448" s="23" t="s">
        <v>5949</v>
      </c>
      <c r="T2448" s="23" t="s">
        <v>4929</v>
      </c>
      <c r="U2448" s="3">
        <v>34</v>
      </c>
      <c r="V2448" s="3" t="s">
        <v>6266</v>
      </c>
      <c r="W2448" s="45" t="str">
        <f>HYPERLINK("http://ictvonline.org/taxonomy/p/taxonomy-history?taxnode_id=201856812","ICTVonline=201856812")</f>
        <v>ICTVonline=201856812</v>
      </c>
      <c r="AA2448" s="1">
        <v>201850000</v>
      </c>
      <c r="AB2448" s="1">
        <v>34</v>
      </c>
    </row>
    <row r="2449" spans="1:28" x14ac:dyDescent="0.15">
      <c r="A2449" s="1">
        <v>6201</v>
      </c>
      <c r="J2449" s="1" t="s">
        <v>1332</v>
      </c>
      <c r="L2449" s="1" t="s">
        <v>1333</v>
      </c>
      <c r="N2449" s="1" t="s">
        <v>6267</v>
      </c>
      <c r="P2449" s="1" t="s">
        <v>6268</v>
      </c>
      <c r="Q2449" s="3">
        <v>1</v>
      </c>
      <c r="S2449" s="23" t="s">
        <v>5949</v>
      </c>
      <c r="T2449" s="23" t="s">
        <v>4929</v>
      </c>
      <c r="U2449" s="3">
        <v>34</v>
      </c>
      <c r="V2449" s="3" t="s">
        <v>6269</v>
      </c>
      <c r="W2449" s="45" t="str">
        <f>HYPERLINK("http://ictvonline.org/taxonomy/p/taxonomy-history?taxnode_id=201856814","ICTVonline=201856814")</f>
        <v>ICTVonline=201856814</v>
      </c>
      <c r="AA2449" s="1">
        <v>201850000</v>
      </c>
      <c r="AB2449" s="1">
        <v>34</v>
      </c>
    </row>
    <row r="2450" spans="1:28" x14ac:dyDescent="0.15">
      <c r="A2450" s="1">
        <v>6205</v>
      </c>
      <c r="J2450" s="1" t="s">
        <v>1332</v>
      </c>
      <c r="L2450" s="1" t="s">
        <v>1333</v>
      </c>
      <c r="N2450" s="1" t="s">
        <v>6270</v>
      </c>
      <c r="P2450" s="1" t="s">
        <v>4253</v>
      </c>
      <c r="Q2450" s="3">
        <v>0</v>
      </c>
      <c r="S2450" s="23" t="s">
        <v>5949</v>
      </c>
      <c r="T2450" s="23" t="s">
        <v>4931</v>
      </c>
      <c r="U2450" s="3">
        <v>34</v>
      </c>
      <c r="W2450" s="45" t="str">
        <f>HYPERLINK("http://ictvonline.org/taxonomy/p/taxonomy-history?taxnode_id=201850493","ICTVonline=201850493")</f>
        <v>ICTVonline=201850493</v>
      </c>
      <c r="AA2450" s="1">
        <v>201850000</v>
      </c>
      <c r="AB2450" s="1">
        <v>34</v>
      </c>
    </row>
    <row r="2451" spans="1:28" x14ac:dyDescent="0.15">
      <c r="A2451" s="1">
        <v>6207</v>
      </c>
      <c r="J2451" s="1" t="s">
        <v>1332</v>
      </c>
      <c r="L2451" s="1" t="s">
        <v>1333</v>
      </c>
      <c r="N2451" s="1" t="s">
        <v>6270</v>
      </c>
      <c r="P2451" s="1" t="s">
        <v>4254</v>
      </c>
      <c r="Q2451" s="3">
        <v>1</v>
      </c>
      <c r="S2451" s="23" t="s">
        <v>5949</v>
      </c>
      <c r="T2451" s="23" t="s">
        <v>4931</v>
      </c>
      <c r="U2451" s="3">
        <v>34</v>
      </c>
      <c r="W2451" s="45" t="str">
        <f>HYPERLINK("http://ictvonline.org/taxonomy/p/taxonomy-history?taxnode_id=201850494","ICTVonline=201850494")</f>
        <v>ICTVonline=201850494</v>
      </c>
      <c r="AA2451" s="1">
        <v>201850000</v>
      </c>
      <c r="AB2451" s="1">
        <v>34</v>
      </c>
    </row>
    <row r="2452" spans="1:28" x14ac:dyDescent="0.15">
      <c r="A2452" s="1">
        <v>6211</v>
      </c>
      <c r="J2452" s="1" t="s">
        <v>1332</v>
      </c>
      <c r="L2452" s="1" t="s">
        <v>1333</v>
      </c>
      <c r="N2452" s="1" t="s">
        <v>4117</v>
      </c>
      <c r="P2452" s="1" t="s">
        <v>2933</v>
      </c>
      <c r="Q2452" s="3">
        <v>1</v>
      </c>
      <c r="S2452" s="23" t="s">
        <v>5949</v>
      </c>
      <c r="W2452" s="45" t="str">
        <f>HYPERLINK("http://ictvonline.org/taxonomy/p/taxonomy-history?taxnode_id=201850432","ICTVonline=201850432")</f>
        <v>ICTVonline=201850432</v>
      </c>
      <c r="AA2452" s="1">
        <v>201850000</v>
      </c>
      <c r="AB2452" s="1">
        <v>34</v>
      </c>
    </row>
    <row r="2453" spans="1:28" x14ac:dyDescent="0.15">
      <c r="A2453" s="1">
        <v>6215</v>
      </c>
      <c r="J2453" s="1" t="s">
        <v>1332</v>
      </c>
      <c r="L2453" s="1" t="s">
        <v>1333</v>
      </c>
      <c r="N2453" s="1" t="s">
        <v>6271</v>
      </c>
      <c r="P2453" s="1" t="s">
        <v>4241</v>
      </c>
      <c r="Q2453" s="3">
        <v>0</v>
      </c>
      <c r="S2453" s="23" t="s">
        <v>5949</v>
      </c>
      <c r="T2453" s="23" t="s">
        <v>4931</v>
      </c>
      <c r="U2453" s="3">
        <v>34</v>
      </c>
      <c r="W2453" s="45" t="str">
        <f>HYPERLINK("http://ictvonline.org/taxonomy/p/taxonomy-history?taxnode_id=201850444","ICTVonline=201850444")</f>
        <v>ICTVonline=201850444</v>
      </c>
      <c r="AA2453" s="1">
        <v>201850000</v>
      </c>
      <c r="AB2453" s="1">
        <v>34</v>
      </c>
    </row>
    <row r="2454" spans="1:28" x14ac:dyDescent="0.15">
      <c r="A2454" s="1">
        <v>6217</v>
      </c>
      <c r="J2454" s="1" t="s">
        <v>1332</v>
      </c>
      <c r="L2454" s="1" t="s">
        <v>1333</v>
      </c>
      <c r="N2454" s="1" t="s">
        <v>6271</v>
      </c>
      <c r="P2454" s="1" t="s">
        <v>4242</v>
      </c>
      <c r="Q2454" s="3">
        <v>1</v>
      </c>
      <c r="S2454" s="23" t="s">
        <v>5949</v>
      </c>
      <c r="T2454" s="23" t="s">
        <v>4931</v>
      </c>
      <c r="U2454" s="3">
        <v>34</v>
      </c>
      <c r="W2454" s="45" t="str">
        <f>HYPERLINK("http://ictvonline.org/taxonomy/p/taxonomy-history?taxnode_id=201850445","ICTVonline=201850445")</f>
        <v>ICTVonline=201850445</v>
      </c>
      <c r="AA2454" s="1">
        <v>201850000</v>
      </c>
      <c r="AB2454" s="1">
        <v>34</v>
      </c>
    </row>
    <row r="2455" spans="1:28" x14ac:dyDescent="0.15">
      <c r="A2455" s="1">
        <v>6219</v>
      </c>
      <c r="J2455" s="1" t="s">
        <v>1332</v>
      </c>
      <c r="L2455" s="1" t="s">
        <v>1333</v>
      </c>
      <c r="N2455" s="1" t="s">
        <v>6271</v>
      </c>
      <c r="P2455" s="1" t="s">
        <v>4243</v>
      </c>
      <c r="Q2455" s="3">
        <v>0</v>
      </c>
      <c r="S2455" s="23" t="s">
        <v>5949</v>
      </c>
      <c r="T2455" s="23" t="s">
        <v>4931</v>
      </c>
      <c r="U2455" s="3">
        <v>34</v>
      </c>
      <c r="W2455" s="45" t="str">
        <f>HYPERLINK("http://ictvonline.org/taxonomy/p/taxonomy-history?taxnode_id=201850446","ICTVonline=201850446")</f>
        <v>ICTVonline=201850446</v>
      </c>
      <c r="AA2455" s="1">
        <v>201850000</v>
      </c>
      <c r="AB2455" s="1">
        <v>34</v>
      </c>
    </row>
    <row r="2456" spans="1:28" x14ac:dyDescent="0.15">
      <c r="A2456" s="1">
        <v>6223</v>
      </c>
      <c r="J2456" s="1" t="s">
        <v>1332</v>
      </c>
      <c r="L2456" s="1" t="s">
        <v>1333</v>
      </c>
      <c r="N2456" s="1" t="s">
        <v>6272</v>
      </c>
      <c r="P2456" s="1" t="s">
        <v>6273</v>
      </c>
      <c r="Q2456" s="3">
        <v>1</v>
      </c>
      <c r="S2456" s="23" t="s">
        <v>5949</v>
      </c>
      <c r="T2456" s="23" t="s">
        <v>4929</v>
      </c>
      <c r="U2456" s="3">
        <v>34</v>
      </c>
      <c r="V2456" s="3" t="s">
        <v>6274</v>
      </c>
      <c r="W2456" s="45" t="str">
        <f>HYPERLINK("http://ictvonline.org/taxonomy/p/taxonomy-history?taxnode_id=201856669","ICTVonline=201856669")</f>
        <v>ICTVonline=201856669</v>
      </c>
      <c r="AA2456" s="1">
        <v>201850000</v>
      </c>
      <c r="AB2456" s="1">
        <v>34</v>
      </c>
    </row>
    <row r="2457" spans="1:28" x14ac:dyDescent="0.15">
      <c r="A2457" s="1">
        <v>6225</v>
      </c>
      <c r="J2457" s="1" t="s">
        <v>1332</v>
      </c>
      <c r="L2457" s="1" t="s">
        <v>1333</v>
      </c>
      <c r="N2457" s="1" t="s">
        <v>6272</v>
      </c>
      <c r="P2457" s="1" t="s">
        <v>6275</v>
      </c>
      <c r="Q2457" s="3">
        <v>0</v>
      </c>
      <c r="S2457" s="23" t="s">
        <v>5949</v>
      </c>
      <c r="T2457" s="23" t="s">
        <v>4929</v>
      </c>
      <c r="U2457" s="3">
        <v>34</v>
      </c>
      <c r="V2457" s="3" t="s">
        <v>6274</v>
      </c>
      <c r="W2457" s="45" t="str">
        <f>HYPERLINK("http://ictvonline.org/taxonomy/p/taxonomy-history?taxnode_id=201856670","ICTVonline=201856670")</f>
        <v>ICTVonline=201856670</v>
      </c>
      <c r="AA2457" s="1">
        <v>201850000</v>
      </c>
      <c r="AB2457" s="1">
        <v>34</v>
      </c>
    </row>
    <row r="2458" spans="1:28" x14ac:dyDescent="0.15">
      <c r="A2458" s="1">
        <v>6229</v>
      </c>
      <c r="J2458" s="1" t="s">
        <v>1332</v>
      </c>
      <c r="L2458" s="1" t="s">
        <v>1333</v>
      </c>
      <c r="N2458" s="1" t="s">
        <v>6276</v>
      </c>
      <c r="P2458" s="1" t="s">
        <v>5015</v>
      </c>
      <c r="Q2458" s="3">
        <v>0</v>
      </c>
      <c r="S2458" s="23" t="s">
        <v>5949</v>
      </c>
      <c r="T2458" s="23" t="s">
        <v>4931</v>
      </c>
      <c r="U2458" s="3">
        <v>34</v>
      </c>
      <c r="W2458" s="45" t="str">
        <f>HYPERLINK("http://ictvonline.org/taxonomy/p/taxonomy-history?taxnode_id=201855480","ICTVonline=201855480")</f>
        <v>ICTVonline=201855480</v>
      </c>
      <c r="AA2458" s="1">
        <v>201850000</v>
      </c>
      <c r="AB2458" s="1">
        <v>34</v>
      </c>
    </row>
    <row r="2459" spans="1:28" x14ac:dyDescent="0.15">
      <c r="A2459" s="1">
        <v>6231</v>
      </c>
      <c r="J2459" s="1" t="s">
        <v>1332</v>
      </c>
      <c r="L2459" s="1" t="s">
        <v>1333</v>
      </c>
      <c r="N2459" s="1" t="s">
        <v>6276</v>
      </c>
      <c r="P2459" s="1" t="s">
        <v>5016</v>
      </c>
      <c r="Q2459" s="3">
        <v>1</v>
      </c>
      <c r="S2459" s="23" t="s">
        <v>5949</v>
      </c>
      <c r="T2459" s="23" t="s">
        <v>4931</v>
      </c>
      <c r="U2459" s="3">
        <v>34</v>
      </c>
      <c r="W2459" s="45" t="str">
        <f>HYPERLINK("http://ictvonline.org/taxonomy/p/taxonomy-history?taxnode_id=201855481","ICTVonline=201855481")</f>
        <v>ICTVonline=201855481</v>
      </c>
      <c r="AA2459" s="1">
        <v>201850000</v>
      </c>
      <c r="AB2459" s="1">
        <v>34</v>
      </c>
    </row>
    <row r="2460" spans="1:28" x14ac:dyDescent="0.15">
      <c r="A2460" s="1">
        <v>6235</v>
      </c>
      <c r="J2460" s="1" t="s">
        <v>1332</v>
      </c>
      <c r="L2460" s="1" t="s">
        <v>1333</v>
      </c>
      <c r="N2460" s="1" t="s">
        <v>6277</v>
      </c>
      <c r="P2460" s="1" t="s">
        <v>6278</v>
      </c>
      <c r="Q2460" s="3">
        <v>0</v>
      </c>
      <c r="S2460" s="23" t="s">
        <v>5949</v>
      </c>
      <c r="T2460" s="23" t="s">
        <v>4929</v>
      </c>
      <c r="U2460" s="3">
        <v>34</v>
      </c>
      <c r="V2460" s="3" t="s">
        <v>6279</v>
      </c>
      <c r="W2460" s="45" t="str">
        <f>HYPERLINK("http://ictvonline.org/taxonomy/p/taxonomy-history?taxnode_id=201856949","ICTVonline=201856949")</f>
        <v>ICTVonline=201856949</v>
      </c>
      <c r="AA2460" s="1">
        <v>201850000</v>
      </c>
      <c r="AB2460" s="1">
        <v>34</v>
      </c>
    </row>
    <row r="2461" spans="1:28" x14ac:dyDescent="0.15">
      <c r="A2461" s="1">
        <v>6237</v>
      </c>
      <c r="J2461" s="1" t="s">
        <v>1332</v>
      </c>
      <c r="L2461" s="1" t="s">
        <v>1333</v>
      </c>
      <c r="N2461" s="1" t="s">
        <v>6277</v>
      </c>
      <c r="P2461" s="1" t="s">
        <v>6280</v>
      </c>
      <c r="Q2461" s="3">
        <v>1</v>
      </c>
      <c r="S2461" s="23" t="s">
        <v>5949</v>
      </c>
      <c r="T2461" s="23" t="s">
        <v>4929</v>
      </c>
      <c r="U2461" s="3">
        <v>34</v>
      </c>
      <c r="V2461" s="3" t="s">
        <v>6279</v>
      </c>
      <c r="W2461" s="45" t="str">
        <f>HYPERLINK("http://ictvonline.org/taxonomy/p/taxonomy-history?taxnode_id=201856950","ICTVonline=201856950")</f>
        <v>ICTVonline=201856950</v>
      </c>
      <c r="AA2461" s="1">
        <v>201850000</v>
      </c>
      <c r="AB2461" s="1">
        <v>34</v>
      </c>
    </row>
    <row r="2462" spans="1:28" x14ac:dyDescent="0.15">
      <c r="A2462" s="1">
        <v>6241</v>
      </c>
      <c r="J2462" s="1" t="s">
        <v>1332</v>
      </c>
      <c r="L2462" s="1" t="s">
        <v>1333</v>
      </c>
      <c r="N2462" s="1" t="s">
        <v>6281</v>
      </c>
      <c r="P2462" s="1" t="s">
        <v>6282</v>
      </c>
      <c r="Q2462" s="3">
        <v>0</v>
      </c>
      <c r="S2462" s="23" t="s">
        <v>5949</v>
      </c>
      <c r="T2462" s="23" t="s">
        <v>4929</v>
      </c>
      <c r="U2462" s="3">
        <v>34</v>
      </c>
      <c r="V2462" s="3" t="s">
        <v>6283</v>
      </c>
      <c r="W2462" s="45" t="str">
        <f>HYPERLINK("http://ictvonline.org/taxonomy/p/taxonomy-history?taxnode_id=201856824","ICTVonline=201856824")</f>
        <v>ICTVonline=201856824</v>
      </c>
      <c r="AA2462" s="1">
        <v>201850000</v>
      </c>
      <c r="AB2462" s="1">
        <v>34</v>
      </c>
    </row>
    <row r="2463" spans="1:28" x14ac:dyDescent="0.15">
      <c r="A2463" s="1">
        <v>6243</v>
      </c>
      <c r="J2463" s="1" t="s">
        <v>1332</v>
      </c>
      <c r="L2463" s="1" t="s">
        <v>1333</v>
      </c>
      <c r="N2463" s="1" t="s">
        <v>6281</v>
      </c>
      <c r="P2463" s="1" t="s">
        <v>6284</v>
      </c>
      <c r="Q2463" s="3">
        <v>1</v>
      </c>
      <c r="S2463" s="23" t="s">
        <v>5949</v>
      </c>
      <c r="T2463" s="23" t="s">
        <v>4929</v>
      </c>
      <c r="U2463" s="3">
        <v>34</v>
      </c>
      <c r="V2463" s="3" t="s">
        <v>6283</v>
      </c>
      <c r="W2463" s="45" t="str">
        <f>HYPERLINK("http://ictvonline.org/taxonomy/p/taxonomy-history?taxnode_id=201856823","ICTVonline=201856823")</f>
        <v>ICTVonline=201856823</v>
      </c>
      <c r="AA2463" s="1">
        <v>201850000</v>
      </c>
      <c r="AB2463" s="1">
        <v>34</v>
      </c>
    </row>
    <row r="2464" spans="1:28" x14ac:dyDescent="0.15">
      <c r="A2464" s="1">
        <v>6247</v>
      </c>
      <c r="J2464" s="1" t="s">
        <v>1332</v>
      </c>
      <c r="L2464" s="1" t="s">
        <v>1333</v>
      </c>
      <c r="N2464" s="1" t="s">
        <v>6285</v>
      </c>
      <c r="P2464" s="1" t="s">
        <v>6286</v>
      </c>
      <c r="Q2464" s="3">
        <v>1</v>
      </c>
      <c r="S2464" s="23" t="s">
        <v>5949</v>
      </c>
      <c r="T2464" s="23" t="s">
        <v>4929</v>
      </c>
      <c r="U2464" s="3">
        <v>34</v>
      </c>
      <c r="V2464" s="3" t="s">
        <v>6287</v>
      </c>
      <c r="W2464" s="45" t="str">
        <f>HYPERLINK("http://ictvonline.org/taxonomy/p/taxonomy-history?taxnode_id=201856769","ICTVonline=201856769")</f>
        <v>ICTVonline=201856769</v>
      </c>
      <c r="AA2464" s="1">
        <v>201850000</v>
      </c>
      <c r="AB2464" s="1">
        <v>34</v>
      </c>
    </row>
    <row r="2465" spans="1:28" x14ac:dyDescent="0.15">
      <c r="A2465" s="1">
        <v>6251</v>
      </c>
      <c r="J2465" s="1" t="s">
        <v>1332</v>
      </c>
      <c r="L2465" s="1" t="s">
        <v>1333</v>
      </c>
      <c r="N2465" s="1" t="s">
        <v>2897</v>
      </c>
      <c r="P2465" s="1" t="s">
        <v>2898</v>
      </c>
      <c r="Q2465" s="3">
        <v>1</v>
      </c>
      <c r="S2465" s="23" t="s">
        <v>5949</v>
      </c>
      <c r="W2465" s="45" t="str">
        <f>HYPERLINK("http://ictvonline.org/taxonomy/p/taxonomy-history?taxnode_id=201850434","ICTVonline=201850434")</f>
        <v>ICTVonline=201850434</v>
      </c>
      <c r="AA2465" s="1">
        <v>201850000</v>
      </c>
      <c r="AB2465" s="1">
        <v>34</v>
      </c>
    </row>
    <row r="2466" spans="1:28" x14ac:dyDescent="0.15">
      <c r="A2466" s="1">
        <v>6253</v>
      </c>
      <c r="J2466" s="1" t="s">
        <v>1332</v>
      </c>
      <c r="L2466" s="1" t="s">
        <v>1333</v>
      </c>
      <c r="N2466" s="1" t="s">
        <v>2897</v>
      </c>
      <c r="P2466" s="1" t="s">
        <v>2899</v>
      </c>
      <c r="Q2466" s="3">
        <v>0</v>
      </c>
      <c r="S2466" s="23" t="s">
        <v>5949</v>
      </c>
      <c r="W2466" s="45" t="str">
        <f>HYPERLINK("http://ictvonline.org/taxonomy/p/taxonomy-history?taxnode_id=201850435","ICTVonline=201850435")</f>
        <v>ICTVonline=201850435</v>
      </c>
      <c r="AA2466" s="1">
        <v>201850000</v>
      </c>
      <c r="AB2466" s="1">
        <v>34</v>
      </c>
    </row>
    <row r="2467" spans="1:28" x14ac:dyDescent="0.15">
      <c r="A2467" s="1">
        <v>6257</v>
      </c>
      <c r="J2467" s="1" t="s">
        <v>1332</v>
      </c>
      <c r="L2467" s="1" t="s">
        <v>1333</v>
      </c>
      <c r="N2467" s="1" t="s">
        <v>6288</v>
      </c>
      <c r="P2467" s="1" t="s">
        <v>6289</v>
      </c>
      <c r="Q2467" s="3">
        <v>1</v>
      </c>
      <c r="S2467" s="23" t="s">
        <v>5949</v>
      </c>
      <c r="T2467" s="23" t="s">
        <v>4929</v>
      </c>
      <c r="U2467" s="3">
        <v>34</v>
      </c>
      <c r="V2467" s="3" t="s">
        <v>6290</v>
      </c>
      <c r="W2467" s="45" t="str">
        <f>HYPERLINK("http://ictvonline.org/taxonomy/p/taxonomy-history?taxnode_id=201856317","ICTVonline=201856317")</f>
        <v>ICTVonline=201856317</v>
      </c>
      <c r="AA2467" s="1">
        <v>201850000</v>
      </c>
      <c r="AB2467" s="1">
        <v>34</v>
      </c>
    </row>
    <row r="2468" spans="1:28" x14ac:dyDescent="0.15">
      <c r="A2468" s="1">
        <v>6261</v>
      </c>
      <c r="J2468" s="1" t="s">
        <v>1332</v>
      </c>
      <c r="L2468" s="1" t="s">
        <v>1333</v>
      </c>
      <c r="N2468" s="1" t="s">
        <v>6291</v>
      </c>
      <c r="P2468" s="1" t="s">
        <v>6292</v>
      </c>
      <c r="Q2468" s="3">
        <v>1</v>
      </c>
      <c r="S2468" s="23" t="s">
        <v>5949</v>
      </c>
      <c r="T2468" s="23" t="s">
        <v>4929</v>
      </c>
      <c r="U2468" s="3">
        <v>34</v>
      </c>
      <c r="V2468" s="3" t="s">
        <v>6293</v>
      </c>
      <c r="W2468" s="45" t="str">
        <f>HYPERLINK("http://ictvonline.org/taxonomy/p/taxonomy-history?taxnode_id=201856507","ICTVonline=201856507")</f>
        <v>ICTVonline=201856507</v>
      </c>
      <c r="AA2468" s="1">
        <v>201850000</v>
      </c>
      <c r="AB2468" s="1">
        <v>34</v>
      </c>
    </row>
    <row r="2469" spans="1:28" x14ac:dyDescent="0.15">
      <c r="A2469" s="1">
        <v>6265</v>
      </c>
      <c r="J2469" s="1" t="s">
        <v>1332</v>
      </c>
      <c r="L2469" s="1" t="s">
        <v>1333</v>
      </c>
      <c r="N2469" s="1" t="s">
        <v>6294</v>
      </c>
      <c r="P2469" s="1" t="s">
        <v>6295</v>
      </c>
      <c r="Q2469" s="3">
        <v>1</v>
      </c>
      <c r="S2469" s="23" t="s">
        <v>5949</v>
      </c>
      <c r="T2469" s="23" t="s">
        <v>4929</v>
      </c>
      <c r="U2469" s="3">
        <v>34</v>
      </c>
      <c r="V2469" s="3" t="s">
        <v>6296</v>
      </c>
      <c r="W2469" s="45" t="str">
        <f>HYPERLINK("http://ictvonline.org/taxonomy/p/taxonomy-history?taxnode_id=201856832","ICTVonline=201856832")</f>
        <v>ICTVonline=201856832</v>
      </c>
      <c r="AA2469" s="1">
        <v>201850000</v>
      </c>
      <c r="AB2469" s="1">
        <v>34</v>
      </c>
    </row>
    <row r="2470" spans="1:28" x14ac:dyDescent="0.15">
      <c r="A2470" s="1">
        <v>6269</v>
      </c>
      <c r="J2470" s="1" t="s">
        <v>1332</v>
      </c>
      <c r="L2470" s="1" t="s">
        <v>1333</v>
      </c>
      <c r="N2470" s="1" t="s">
        <v>6297</v>
      </c>
      <c r="P2470" s="1" t="s">
        <v>6298</v>
      </c>
      <c r="Q2470" s="3">
        <v>1</v>
      </c>
      <c r="S2470" s="23" t="s">
        <v>5949</v>
      </c>
      <c r="T2470" s="23" t="s">
        <v>4929</v>
      </c>
      <c r="U2470" s="3">
        <v>34</v>
      </c>
      <c r="V2470" s="3" t="s">
        <v>6299</v>
      </c>
      <c r="W2470" s="45" t="str">
        <f>HYPERLINK("http://ictvonline.org/taxonomy/p/taxonomy-history?taxnode_id=201856836","ICTVonline=201856836")</f>
        <v>ICTVonline=201856836</v>
      </c>
      <c r="AA2470" s="1">
        <v>201850000</v>
      </c>
      <c r="AB2470" s="1">
        <v>34</v>
      </c>
    </row>
    <row r="2471" spans="1:28" x14ac:dyDescent="0.15">
      <c r="A2471" s="1">
        <v>6271</v>
      </c>
      <c r="J2471" s="1" t="s">
        <v>1332</v>
      </c>
      <c r="L2471" s="1" t="s">
        <v>1333</v>
      </c>
      <c r="N2471" s="1" t="s">
        <v>6297</v>
      </c>
      <c r="P2471" s="1" t="s">
        <v>6300</v>
      </c>
      <c r="Q2471" s="3">
        <v>0</v>
      </c>
      <c r="S2471" s="23" t="s">
        <v>5949</v>
      </c>
      <c r="T2471" s="23" t="s">
        <v>4929</v>
      </c>
      <c r="U2471" s="3">
        <v>34</v>
      </c>
      <c r="V2471" s="3" t="s">
        <v>6299</v>
      </c>
      <c r="W2471" s="45" t="str">
        <f>HYPERLINK("http://ictvonline.org/taxonomy/p/taxonomy-history?taxnode_id=201856837","ICTVonline=201856837")</f>
        <v>ICTVonline=201856837</v>
      </c>
      <c r="AA2471" s="1">
        <v>201850000</v>
      </c>
      <c r="AB2471" s="1">
        <v>34</v>
      </c>
    </row>
    <row r="2472" spans="1:28" x14ac:dyDescent="0.15">
      <c r="A2472" s="1">
        <v>6273</v>
      </c>
      <c r="J2472" s="1" t="s">
        <v>1332</v>
      </c>
      <c r="L2472" s="1" t="s">
        <v>1333</v>
      </c>
      <c r="N2472" s="1" t="s">
        <v>6297</v>
      </c>
      <c r="P2472" s="1" t="s">
        <v>6301</v>
      </c>
      <c r="Q2472" s="3">
        <v>0</v>
      </c>
      <c r="S2472" s="23" t="s">
        <v>5949</v>
      </c>
      <c r="T2472" s="23" t="s">
        <v>4929</v>
      </c>
      <c r="U2472" s="3">
        <v>34</v>
      </c>
      <c r="V2472" s="3" t="s">
        <v>6299</v>
      </c>
      <c r="W2472" s="45" t="str">
        <f>HYPERLINK("http://ictvonline.org/taxonomy/p/taxonomy-history?taxnode_id=201856838","ICTVonline=201856838")</f>
        <v>ICTVonline=201856838</v>
      </c>
      <c r="AA2472" s="1">
        <v>201850000</v>
      </c>
      <c r="AB2472" s="1">
        <v>34</v>
      </c>
    </row>
    <row r="2473" spans="1:28" x14ac:dyDescent="0.15">
      <c r="A2473" s="1">
        <v>6277</v>
      </c>
      <c r="J2473" s="1" t="s">
        <v>1332</v>
      </c>
      <c r="L2473" s="1" t="s">
        <v>1333</v>
      </c>
      <c r="N2473" s="1" t="s">
        <v>6302</v>
      </c>
      <c r="P2473" s="1" t="s">
        <v>2885</v>
      </c>
      <c r="Q2473" s="3">
        <v>1</v>
      </c>
      <c r="S2473" s="23" t="s">
        <v>5949</v>
      </c>
      <c r="T2473" s="23" t="s">
        <v>4931</v>
      </c>
      <c r="U2473" s="3">
        <v>34</v>
      </c>
      <c r="W2473" s="45" t="str">
        <f>HYPERLINK("http://ictvonline.org/taxonomy/p/taxonomy-history?taxnode_id=201850429","ICTVonline=201850429")</f>
        <v>ICTVonline=201850429</v>
      </c>
      <c r="AA2473" s="1">
        <v>201850000</v>
      </c>
      <c r="AB2473" s="1">
        <v>34</v>
      </c>
    </row>
    <row r="2474" spans="1:28" x14ac:dyDescent="0.15">
      <c r="A2474" s="1">
        <v>6279</v>
      </c>
      <c r="J2474" s="1" t="s">
        <v>1332</v>
      </c>
      <c r="L2474" s="1" t="s">
        <v>1333</v>
      </c>
      <c r="N2474" s="1" t="s">
        <v>6302</v>
      </c>
      <c r="P2474" s="1" t="s">
        <v>6303</v>
      </c>
      <c r="Q2474" s="3">
        <v>0</v>
      </c>
      <c r="S2474" s="23" t="s">
        <v>5949</v>
      </c>
      <c r="T2474" s="23" t="s">
        <v>4929</v>
      </c>
      <c r="U2474" s="3">
        <v>34</v>
      </c>
      <c r="V2474" s="3" t="s">
        <v>6181</v>
      </c>
      <c r="W2474" s="45" t="str">
        <f>HYPERLINK("http://ictvonline.org/taxonomy/p/taxonomy-history?taxnode_id=201856999","ICTVonline=201856999")</f>
        <v>ICTVonline=201856999</v>
      </c>
      <c r="AA2474" s="1">
        <v>201850000</v>
      </c>
      <c r="AB2474" s="1">
        <v>34</v>
      </c>
    </row>
    <row r="2475" spans="1:28" x14ac:dyDescent="0.15">
      <c r="A2475" s="1">
        <v>6281</v>
      </c>
      <c r="J2475" s="1" t="s">
        <v>1332</v>
      </c>
      <c r="L2475" s="1" t="s">
        <v>1333</v>
      </c>
      <c r="N2475" s="1" t="s">
        <v>6302</v>
      </c>
      <c r="P2475" s="1" t="s">
        <v>2886</v>
      </c>
      <c r="Q2475" s="3">
        <v>0</v>
      </c>
      <c r="S2475" s="23" t="s">
        <v>5949</v>
      </c>
      <c r="T2475" s="23" t="s">
        <v>4931</v>
      </c>
      <c r="U2475" s="3">
        <v>34</v>
      </c>
      <c r="W2475" s="45" t="str">
        <f>HYPERLINK("http://ictvonline.org/taxonomy/p/taxonomy-history?taxnode_id=201850430","ICTVonline=201850430")</f>
        <v>ICTVonline=201850430</v>
      </c>
      <c r="AA2475" s="1">
        <v>201850000</v>
      </c>
      <c r="AB2475" s="1">
        <v>34</v>
      </c>
    </row>
    <row r="2476" spans="1:28" x14ac:dyDescent="0.15">
      <c r="A2476" s="1">
        <v>6285</v>
      </c>
      <c r="J2476" s="1" t="s">
        <v>1332</v>
      </c>
      <c r="L2476" s="1" t="s">
        <v>1333</v>
      </c>
      <c r="N2476" s="1" t="s">
        <v>4238</v>
      </c>
      <c r="P2476" s="1" t="s">
        <v>4239</v>
      </c>
      <c r="Q2476" s="3">
        <v>1</v>
      </c>
      <c r="S2476" s="23" t="s">
        <v>5949</v>
      </c>
      <c r="W2476" s="45" t="str">
        <f>HYPERLINK("http://ictvonline.org/taxonomy/p/taxonomy-history?taxnode_id=201850437","ICTVonline=201850437")</f>
        <v>ICTVonline=201850437</v>
      </c>
      <c r="AA2476" s="1">
        <v>201850000</v>
      </c>
      <c r="AB2476" s="1">
        <v>34</v>
      </c>
    </row>
    <row r="2477" spans="1:28" x14ac:dyDescent="0.15">
      <c r="A2477" s="1">
        <v>6287</v>
      </c>
      <c r="J2477" s="1" t="s">
        <v>1332</v>
      </c>
      <c r="L2477" s="1" t="s">
        <v>1333</v>
      </c>
      <c r="N2477" s="1" t="s">
        <v>4238</v>
      </c>
      <c r="P2477" s="1" t="s">
        <v>4240</v>
      </c>
      <c r="Q2477" s="3">
        <v>0</v>
      </c>
      <c r="S2477" s="23" t="s">
        <v>5949</v>
      </c>
      <c r="W2477" s="45" t="str">
        <f>HYPERLINK("http://ictvonline.org/taxonomy/p/taxonomy-history?taxnode_id=201850438","ICTVonline=201850438")</f>
        <v>ICTVonline=201850438</v>
      </c>
      <c r="AA2477" s="1">
        <v>201850000</v>
      </c>
      <c r="AB2477" s="1">
        <v>34</v>
      </c>
    </row>
    <row r="2478" spans="1:28" x14ac:dyDescent="0.15">
      <c r="A2478" s="1">
        <v>6291</v>
      </c>
      <c r="J2478" s="1" t="s">
        <v>1332</v>
      </c>
      <c r="L2478" s="1" t="s">
        <v>1333</v>
      </c>
      <c r="N2478" s="1" t="s">
        <v>6304</v>
      </c>
      <c r="P2478" s="1" t="s">
        <v>2935</v>
      </c>
      <c r="Q2478" s="3">
        <v>1</v>
      </c>
      <c r="S2478" s="23" t="s">
        <v>5949</v>
      </c>
      <c r="T2478" s="23" t="s">
        <v>4931</v>
      </c>
      <c r="U2478" s="3">
        <v>34</v>
      </c>
      <c r="W2478" s="45" t="str">
        <f>HYPERLINK("http://ictvonline.org/taxonomy/p/taxonomy-history?taxnode_id=201850491","ICTVonline=201850491")</f>
        <v>ICTVonline=201850491</v>
      </c>
      <c r="AA2478" s="1">
        <v>201850000</v>
      </c>
      <c r="AB2478" s="1">
        <v>34</v>
      </c>
    </row>
    <row r="2479" spans="1:28" x14ac:dyDescent="0.15">
      <c r="A2479" s="1">
        <v>6295</v>
      </c>
      <c r="J2479" s="1" t="s">
        <v>1332</v>
      </c>
      <c r="L2479" s="1" t="s">
        <v>1333</v>
      </c>
      <c r="N2479" s="1" t="s">
        <v>6305</v>
      </c>
      <c r="P2479" s="1" t="s">
        <v>2879</v>
      </c>
      <c r="Q2479" s="3">
        <v>0</v>
      </c>
      <c r="S2479" s="23" t="s">
        <v>5949</v>
      </c>
      <c r="T2479" s="23" t="s">
        <v>4931</v>
      </c>
      <c r="U2479" s="3">
        <v>34</v>
      </c>
      <c r="W2479" s="45" t="str">
        <f>HYPERLINK("http://ictvonline.org/taxonomy/p/taxonomy-history?taxnode_id=201850421","ICTVonline=201850421")</f>
        <v>ICTVonline=201850421</v>
      </c>
      <c r="AA2479" s="1">
        <v>201850000</v>
      </c>
      <c r="AB2479" s="1">
        <v>34</v>
      </c>
    </row>
    <row r="2480" spans="1:28" x14ac:dyDescent="0.15">
      <c r="A2480" s="1">
        <v>6297</v>
      </c>
      <c r="J2480" s="1" t="s">
        <v>1332</v>
      </c>
      <c r="L2480" s="1" t="s">
        <v>1333</v>
      </c>
      <c r="N2480" s="1" t="s">
        <v>6305</v>
      </c>
      <c r="P2480" s="1" t="s">
        <v>2880</v>
      </c>
      <c r="Q2480" s="3">
        <v>0</v>
      </c>
      <c r="S2480" s="23" t="s">
        <v>5949</v>
      </c>
      <c r="T2480" s="23" t="s">
        <v>4931</v>
      </c>
      <c r="U2480" s="3">
        <v>34</v>
      </c>
      <c r="W2480" s="45" t="str">
        <f>HYPERLINK("http://ictvonline.org/taxonomy/p/taxonomy-history?taxnode_id=201850422","ICTVonline=201850422")</f>
        <v>ICTVonline=201850422</v>
      </c>
      <c r="AA2480" s="1">
        <v>201850000</v>
      </c>
      <c r="AB2480" s="1">
        <v>34</v>
      </c>
    </row>
    <row r="2481" spans="1:28" x14ac:dyDescent="0.15">
      <c r="A2481" s="1">
        <v>6299</v>
      </c>
      <c r="J2481" s="1" t="s">
        <v>1332</v>
      </c>
      <c r="L2481" s="1" t="s">
        <v>1333</v>
      </c>
      <c r="N2481" s="1" t="s">
        <v>6305</v>
      </c>
      <c r="P2481" s="1" t="s">
        <v>2881</v>
      </c>
      <c r="Q2481" s="3">
        <v>1</v>
      </c>
      <c r="S2481" s="23" t="s">
        <v>5949</v>
      </c>
      <c r="T2481" s="23" t="s">
        <v>4931</v>
      </c>
      <c r="U2481" s="3">
        <v>34</v>
      </c>
      <c r="W2481" s="45" t="str">
        <f>HYPERLINK("http://ictvonline.org/taxonomy/p/taxonomy-history?taxnode_id=201850423","ICTVonline=201850423")</f>
        <v>ICTVonline=201850423</v>
      </c>
      <c r="AA2481" s="1">
        <v>201850000</v>
      </c>
      <c r="AB2481" s="1">
        <v>34</v>
      </c>
    </row>
    <row r="2482" spans="1:28" x14ac:dyDescent="0.15">
      <c r="A2482" s="1">
        <v>6303</v>
      </c>
      <c r="J2482" s="1" t="s">
        <v>1332</v>
      </c>
      <c r="L2482" s="1" t="s">
        <v>1333</v>
      </c>
      <c r="N2482" s="1" t="s">
        <v>5017</v>
      </c>
      <c r="P2482" s="1" t="s">
        <v>5018</v>
      </c>
      <c r="Q2482" s="3">
        <v>1</v>
      </c>
      <c r="S2482" s="23" t="s">
        <v>5949</v>
      </c>
      <c r="W2482" s="45" t="str">
        <f>HYPERLINK("http://ictvonline.org/taxonomy/p/taxonomy-history?taxnode_id=201855483","ICTVonline=201855483")</f>
        <v>ICTVonline=201855483</v>
      </c>
      <c r="AA2482" s="1">
        <v>201850000</v>
      </c>
      <c r="AB2482" s="1">
        <v>34</v>
      </c>
    </row>
    <row r="2483" spans="1:28" x14ac:dyDescent="0.15">
      <c r="A2483" s="1">
        <v>6307</v>
      </c>
      <c r="J2483" s="1" t="s">
        <v>1332</v>
      </c>
      <c r="L2483" s="1" t="s">
        <v>1333</v>
      </c>
      <c r="N2483" s="1" t="s">
        <v>4244</v>
      </c>
      <c r="P2483" s="1" t="s">
        <v>6306</v>
      </c>
      <c r="Q2483" s="3">
        <v>0</v>
      </c>
      <c r="S2483" s="23" t="s">
        <v>5949</v>
      </c>
      <c r="T2483" s="23" t="s">
        <v>4929</v>
      </c>
      <c r="U2483" s="3">
        <v>34</v>
      </c>
      <c r="V2483" s="3" t="s">
        <v>6181</v>
      </c>
      <c r="W2483" s="45" t="str">
        <f>HYPERLINK("http://ictvonline.org/taxonomy/p/taxonomy-history?taxnode_id=201857002","ICTVonline=201857002")</f>
        <v>ICTVonline=201857002</v>
      </c>
      <c r="AA2483" s="1">
        <v>201850000</v>
      </c>
      <c r="AB2483" s="1">
        <v>34</v>
      </c>
    </row>
    <row r="2484" spans="1:28" x14ac:dyDescent="0.15">
      <c r="A2484" s="1">
        <v>6309</v>
      </c>
      <c r="J2484" s="1" t="s">
        <v>1332</v>
      </c>
      <c r="L2484" s="1" t="s">
        <v>1333</v>
      </c>
      <c r="N2484" s="1" t="s">
        <v>4244</v>
      </c>
      <c r="P2484" s="1" t="s">
        <v>6307</v>
      </c>
      <c r="Q2484" s="3">
        <v>0</v>
      </c>
      <c r="S2484" s="23" t="s">
        <v>5949</v>
      </c>
      <c r="T2484" s="23" t="s">
        <v>4929</v>
      </c>
      <c r="U2484" s="3">
        <v>34</v>
      </c>
      <c r="V2484" s="3" t="s">
        <v>6181</v>
      </c>
      <c r="W2484" s="45" t="str">
        <f>HYPERLINK("http://ictvonline.org/taxonomy/p/taxonomy-history?taxnode_id=201857003","ICTVonline=201857003")</f>
        <v>ICTVonline=201857003</v>
      </c>
      <c r="AA2484" s="1">
        <v>201850000</v>
      </c>
      <c r="AB2484" s="1">
        <v>34</v>
      </c>
    </row>
    <row r="2485" spans="1:28" x14ac:dyDescent="0.15">
      <c r="A2485" s="1">
        <v>6311</v>
      </c>
      <c r="J2485" s="1" t="s">
        <v>1332</v>
      </c>
      <c r="L2485" s="1" t="s">
        <v>1333</v>
      </c>
      <c r="N2485" s="1" t="s">
        <v>4244</v>
      </c>
      <c r="P2485" s="1" t="s">
        <v>4245</v>
      </c>
      <c r="Q2485" s="3">
        <v>0</v>
      </c>
      <c r="S2485" s="23" t="s">
        <v>5949</v>
      </c>
      <c r="W2485" s="45" t="str">
        <f>HYPERLINK("http://ictvonline.org/taxonomy/p/taxonomy-history?taxnode_id=201850448","ICTVonline=201850448")</f>
        <v>ICTVonline=201850448</v>
      </c>
      <c r="AA2485" s="1">
        <v>201850000</v>
      </c>
      <c r="AB2485" s="1">
        <v>34</v>
      </c>
    </row>
    <row r="2486" spans="1:28" x14ac:dyDescent="0.15">
      <c r="A2486" s="1">
        <v>6313</v>
      </c>
      <c r="J2486" s="1" t="s">
        <v>1332</v>
      </c>
      <c r="L2486" s="1" t="s">
        <v>1333</v>
      </c>
      <c r="N2486" s="1" t="s">
        <v>4244</v>
      </c>
      <c r="P2486" s="1" t="s">
        <v>4246</v>
      </c>
      <c r="Q2486" s="3">
        <v>0</v>
      </c>
      <c r="S2486" s="23" t="s">
        <v>5949</v>
      </c>
      <c r="W2486" s="45" t="str">
        <f>HYPERLINK("http://ictvonline.org/taxonomy/p/taxonomy-history?taxnode_id=201850449","ICTVonline=201850449")</f>
        <v>ICTVonline=201850449</v>
      </c>
      <c r="AA2486" s="1">
        <v>201850000</v>
      </c>
      <c r="AB2486" s="1">
        <v>34</v>
      </c>
    </row>
    <row r="2487" spans="1:28" x14ac:dyDescent="0.15">
      <c r="A2487" s="1">
        <v>6315</v>
      </c>
      <c r="J2487" s="1" t="s">
        <v>1332</v>
      </c>
      <c r="L2487" s="1" t="s">
        <v>1333</v>
      </c>
      <c r="N2487" s="1" t="s">
        <v>4244</v>
      </c>
      <c r="P2487" s="1" t="s">
        <v>4247</v>
      </c>
      <c r="Q2487" s="3">
        <v>1</v>
      </c>
      <c r="S2487" s="23" t="s">
        <v>5949</v>
      </c>
      <c r="W2487" s="45" t="str">
        <f>HYPERLINK("http://ictvonline.org/taxonomy/p/taxonomy-history?taxnode_id=201850450","ICTVonline=201850450")</f>
        <v>ICTVonline=201850450</v>
      </c>
      <c r="AA2487" s="1">
        <v>201850000</v>
      </c>
      <c r="AB2487" s="1">
        <v>34</v>
      </c>
    </row>
    <row r="2488" spans="1:28" x14ac:dyDescent="0.15">
      <c r="A2488" s="1">
        <v>6317</v>
      </c>
      <c r="J2488" s="1" t="s">
        <v>1332</v>
      </c>
      <c r="L2488" s="1" t="s">
        <v>1333</v>
      </c>
      <c r="N2488" s="1" t="s">
        <v>4244</v>
      </c>
      <c r="P2488" s="1" t="s">
        <v>6308</v>
      </c>
      <c r="Q2488" s="3">
        <v>0</v>
      </c>
      <c r="S2488" s="23" t="s">
        <v>5949</v>
      </c>
      <c r="T2488" s="23" t="s">
        <v>4929</v>
      </c>
      <c r="U2488" s="3">
        <v>34</v>
      </c>
      <c r="V2488" s="3" t="s">
        <v>6181</v>
      </c>
      <c r="W2488" s="45" t="str">
        <f>HYPERLINK("http://ictvonline.org/taxonomy/p/taxonomy-history?taxnode_id=201857004","ICTVonline=201857004")</f>
        <v>ICTVonline=201857004</v>
      </c>
      <c r="AA2488" s="1">
        <v>201850000</v>
      </c>
      <c r="AB2488" s="1">
        <v>34</v>
      </c>
    </row>
    <row r="2489" spans="1:28" x14ac:dyDescent="0.15">
      <c r="A2489" s="1">
        <v>6319</v>
      </c>
      <c r="J2489" s="1" t="s">
        <v>1332</v>
      </c>
      <c r="L2489" s="1" t="s">
        <v>1333</v>
      </c>
      <c r="N2489" s="1" t="s">
        <v>4244</v>
      </c>
      <c r="P2489" s="1" t="s">
        <v>6309</v>
      </c>
      <c r="Q2489" s="3">
        <v>0</v>
      </c>
      <c r="S2489" s="23" t="s">
        <v>5949</v>
      </c>
      <c r="T2489" s="23" t="s">
        <v>4929</v>
      </c>
      <c r="U2489" s="3">
        <v>34</v>
      </c>
      <c r="V2489" s="3" t="s">
        <v>6181</v>
      </c>
      <c r="W2489" s="45" t="str">
        <f>HYPERLINK("http://ictvonline.org/taxonomy/p/taxonomy-history?taxnode_id=201857005","ICTVonline=201857005")</f>
        <v>ICTVonline=201857005</v>
      </c>
      <c r="AA2489" s="1">
        <v>201850000</v>
      </c>
      <c r="AB2489" s="1">
        <v>34</v>
      </c>
    </row>
    <row r="2490" spans="1:28" x14ac:dyDescent="0.15">
      <c r="A2490" s="1">
        <v>6321</v>
      </c>
      <c r="J2490" s="1" t="s">
        <v>1332</v>
      </c>
      <c r="L2490" s="1" t="s">
        <v>1333</v>
      </c>
      <c r="N2490" s="1" t="s">
        <v>4244</v>
      </c>
      <c r="P2490" s="1" t="s">
        <v>4248</v>
      </c>
      <c r="Q2490" s="3">
        <v>0</v>
      </c>
      <c r="S2490" s="23" t="s">
        <v>5949</v>
      </c>
      <c r="W2490" s="45" t="str">
        <f>HYPERLINK("http://ictvonline.org/taxonomy/p/taxonomy-history?taxnode_id=201850451","ICTVonline=201850451")</f>
        <v>ICTVonline=201850451</v>
      </c>
      <c r="AA2490" s="1">
        <v>201850000</v>
      </c>
      <c r="AB2490" s="1">
        <v>34</v>
      </c>
    </row>
    <row r="2491" spans="1:28" x14ac:dyDescent="0.15">
      <c r="A2491" s="1">
        <v>6325</v>
      </c>
      <c r="J2491" s="1" t="s">
        <v>1332</v>
      </c>
      <c r="L2491" s="1" t="s">
        <v>1333</v>
      </c>
      <c r="N2491" s="1" t="s">
        <v>6310</v>
      </c>
      <c r="P2491" s="1" t="s">
        <v>6311</v>
      </c>
      <c r="Q2491" s="3">
        <v>1</v>
      </c>
      <c r="S2491" s="23" t="s">
        <v>5949</v>
      </c>
      <c r="T2491" s="23" t="s">
        <v>4929</v>
      </c>
      <c r="U2491" s="3">
        <v>34</v>
      </c>
      <c r="V2491" s="3" t="s">
        <v>6312</v>
      </c>
      <c r="W2491" s="45" t="str">
        <f>HYPERLINK("http://ictvonline.org/taxonomy/p/taxonomy-history?taxnode_id=201856918","ICTVonline=201856918")</f>
        <v>ICTVonline=201856918</v>
      </c>
      <c r="AA2491" s="1">
        <v>201850000</v>
      </c>
      <c r="AB2491" s="1">
        <v>34</v>
      </c>
    </row>
    <row r="2492" spans="1:28" x14ac:dyDescent="0.15">
      <c r="A2492" s="1">
        <v>6329</v>
      </c>
      <c r="J2492" s="1" t="s">
        <v>1332</v>
      </c>
      <c r="L2492" s="1" t="s">
        <v>1333</v>
      </c>
      <c r="N2492" s="1" t="s">
        <v>6313</v>
      </c>
      <c r="P2492" s="1" t="s">
        <v>4255</v>
      </c>
      <c r="Q2492" s="3">
        <v>1</v>
      </c>
      <c r="S2492" s="23" t="s">
        <v>5949</v>
      </c>
      <c r="T2492" s="23" t="s">
        <v>4931</v>
      </c>
      <c r="U2492" s="3">
        <v>34</v>
      </c>
      <c r="W2492" s="45" t="str">
        <f>HYPERLINK("http://ictvonline.org/taxonomy/p/taxonomy-history?taxnode_id=201850496","ICTVonline=201850496")</f>
        <v>ICTVonline=201850496</v>
      </c>
      <c r="AA2492" s="1">
        <v>201850000</v>
      </c>
      <c r="AB2492" s="1">
        <v>34</v>
      </c>
    </row>
    <row r="2493" spans="1:28" x14ac:dyDescent="0.15">
      <c r="A2493" s="1">
        <v>6333</v>
      </c>
      <c r="J2493" s="1" t="s">
        <v>1332</v>
      </c>
      <c r="L2493" s="1" t="s">
        <v>1333</v>
      </c>
      <c r="N2493" s="1" t="s">
        <v>6314</v>
      </c>
      <c r="P2493" s="1" t="s">
        <v>6315</v>
      </c>
      <c r="Q2493" s="3">
        <v>1</v>
      </c>
      <c r="S2493" s="23" t="s">
        <v>5949</v>
      </c>
      <c r="T2493" s="23" t="s">
        <v>4929</v>
      </c>
      <c r="U2493" s="3">
        <v>34</v>
      </c>
      <c r="V2493" s="3" t="s">
        <v>6316</v>
      </c>
      <c r="W2493" s="45" t="str">
        <f>HYPERLINK("http://ictvonline.org/taxonomy/p/taxonomy-history?taxnode_id=201856679","ICTVonline=201856679")</f>
        <v>ICTVonline=201856679</v>
      </c>
      <c r="AA2493" s="1">
        <v>201850000</v>
      </c>
      <c r="AB2493" s="1">
        <v>34</v>
      </c>
    </row>
    <row r="2494" spans="1:28" x14ac:dyDescent="0.15">
      <c r="A2494" s="1">
        <v>6335</v>
      </c>
      <c r="J2494" s="1" t="s">
        <v>1332</v>
      </c>
      <c r="L2494" s="1" t="s">
        <v>1333</v>
      </c>
      <c r="N2494" s="1" t="s">
        <v>6314</v>
      </c>
      <c r="P2494" s="1" t="s">
        <v>6317</v>
      </c>
      <c r="Q2494" s="3">
        <v>0</v>
      </c>
      <c r="S2494" s="23" t="s">
        <v>5949</v>
      </c>
      <c r="T2494" s="23" t="s">
        <v>4929</v>
      </c>
      <c r="U2494" s="3">
        <v>34</v>
      </c>
      <c r="V2494" s="3" t="s">
        <v>6316</v>
      </c>
      <c r="W2494" s="45" t="str">
        <f>HYPERLINK("http://ictvonline.org/taxonomy/p/taxonomy-history?taxnode_id=201856680","ICTVonline=201856680")</f>
        <v>ICTVonline=201856680</v>
      </c>
      <c r="AA2494" s="1">
        <v>201850000</v>
      </c>
      <c r="AB2494" s="1">
        <v>34</v>
      </c>
    </row>
    <row r="2495" spans="1:28" x14ac:dyDescent="0.15">
      <c r="A2495" s="1">
        <v>6339</v>
      </c>
      <c r="J2495" s="1" t="s">
        <v>1332</v>
      </c>
      <c r="L2495" s="1" t="s">
        <v>1333</v>
      </c>
      <c r="N2495" s="1" t="s">
        <v>2903</v>
      </c>
      <c r="P2495" s="1" t="s">
        <v>2904</v>
      </c>
      <c r="Q2495" s="3">
        <v>1</v>
      </c>
      <c r="S2495" s="23" t="s">
        <v>5949</v>
      </c>
      <c r="W2495" s="45" t="str">
        <f>HYPERLINK("http://ictvonline.org/taxonomy/p/taxonomy-history?taxnode_id=201850456","ICTVonline=201850456")</f>
        <v>ICTVonline=201850456</v>
      </c>
      <c r="AA2495" s="1">
        <v>201850000</v>
      </c>
      <c r="AB2495" s="1">
        <v>34</v>
      </c>
    </row>
    <row r="2496" spans="1:28" x14ac:dyDescent="0.15">
      <c r="A2496" s="1">
        <v>6341</v>
      </c>
      <c r="J2496" s="1" t="s">
        <v>1332</v>
      </c>
      <c r="L2496" s="1" t="s">
        <v>1333</v>
      </c>
      <c r="N2496" s="1" t="s">
        <v>2903</v>
      </c>
      <c r="P2496" s="1" t="s">
        <v>4251</v>
      </c>
      <c r="Q2496" s="3">
        <v>0</v>
      </c>
      <c r="S2496" s="23" t="s">
        <v>5949</v>
      </c>
      <c r="W2496" s="45" t="str">
        <f>HYPERLINK("http://ictvonline.org/taxonomy/p/taxonomy-history?taxnode_id=201850457","ICTVonline=201850457")</f>
        <v>ICTVonline=201850457</v>
      </c>
      <c r="AA2496" s="1">
        <v>201850000</v>
      </c>
      <c r="AB2496" s="1">
        <v>34</v>
      </c>
    </row>
    <row r="2497" spans="1:28" x14ac:dyDescent="0.15">
      <c r="A2497" s="1">
        <v>6345</v>
      </c>
      <c r="J2497" s="1" t="s">
        <v>1332</v>
      </c>
      <c r="L2497" s="1" t="s">
        <v>1333</v>
      </c>
      <c r="N2497" s="1" t="s">
        <v>2905</v>
      </c>
      <c r="P2497" s="1" t="s">
        <v>2906</v>
      </c>
      <c r="Q2497" s="3">
        <v>1</v>
      </c>
      <c r="S2497" s="23" t="s">
        <v>5949</v>
      </c>
      <c r="W2497" s="45" t="str">
        <f>HYPERLINK("http://ictvonline.org/taxonomy/p/taxonomy-history?taxnode_id=201850459","ICTVonline=201850459")</f>
        <v>ICTVonline=201850459</v>
      </c>
      <c r="AA2497" s="1">
        <v>201850000</v>
      </c>
      <c r="AB2497" s="1">
        <v>34</v>
      </c>
    </row>
    <row r="2498" spans="1:28" x14ac:dyDescent="0.15">
      <c r="A2498" s="1">
        <v>6349</v>
      </c>
      <c r="J2498" s="1" t="s">
        <v>1332</v>
      </c>
      <c r="L2498" s="1" t="s">
        <v>1333</v>
      </c>
      <c r="N2498" s="1" t="s">
        <v>6318</v>
      </c>
      <c r="P2498" s="1" t="s">
        <v>2900</v>
      </c>
      <c r="Q2498" s="3">
        <v>0</v>
      </c>
      <c r="S2498" s="23" t="s">
        <v>5949</v>
      </c>
      <c r="T2498" s="23" t="s">
        <v>4931</v>
      </c>
      <c r="U2498" s="3">
        <v>34</v>
      </c>
      <c r="W2498" s="45" t="str">
        <f>HYPERLINK("http://ictvonline.org/taxonomy/p/taxonomy-history?taxnode_id=201850440","ICTVonline=201850440")</f>
        <v>ICTVonline=201850440</v>
      </c>
      <c r="AA2498" s="1">
        <v>201850000</v>
      </c>
      <c r="AB2498" s="1">
        <v>34</v>
      </c>
    </row>
    <row r="2499" spans="1:28" x14ac:dyDescent="0.15">
      <c r="A2499" s="1">
        <v>6351</v>
      </c>
      <c r="J2499" s="1" t="s">
        <v>1332</v>
      </c>
      <c r="L2499" s="1" t="s">
        <v>1333</v>
      </c>
      <c r="N2499" s="1" t="s">
        <v>6318</v>
      </c>
      <c r="P2499" s="1" t="s">
        <v>6319</v>
      </c>
      <c r="Q2499" s="3">
        <v>0</v>
      </c>
      <c r="S2499" s="23" t="s">
        <v>5949</v>
      </c>
      <c r="T2499" s="23" t="s">
        <v>4929</v>
      </c>
      <c r="U2499" s="3">
        <v>34</v>
      </c>
      <c r="V2499" s="3" t="s">
        <v>6181</v>
      </c>
      <c r="W2499" s="45" t="str">
        <f>HYPERLINK("http://ictvonline.org/taxonomy/p/taxonomy-history?taxnode_id=201857000","ICTVonline=201857000")</f>
        <v>ICTVonline=201857000</v>
      </c>
      <c r="AA2499" s="1">
        <v>201850000</v>
      </c>
      <c r="AB2499" s="1">
        <v>34</v>
      </c>
    </row>
    <row r="2500" spans="1:28" x14ac:dyDescent="0.15">
      <c r="A2500" s="1">
        <v>6353</v>
      </c>
      <c r="J2500" s="1" t="s">
        <v>1332</v>
      </c>
      <c r="L2500" s="1" t="s">
        <v>1333</v>
      </c>
      <c r="N2500" s="1" t="s">
        <v>6318</v>
      </c>
      <c r="P2500" s="1" t="s">
        <v>2901</v>
      </c>
      <c r="Q2500" s="3">
        <v>1</v>
      </c>
      <c r="S2500" s="23" t="s">
        <v>5949</v>
      </c>
      <c r="T2500" s="23" t="s">
        <v>4931</v>
      </c>
      <c r="U2500" s="3">
        <v>34</v>
      </c>
      <c r="W2500" s="45" t="str">
        <f>HYPERLINK("http://ictvonline.org/taxonomy/p/taxonomy-history?taxnode_id=201850441","ICTVonline=201850441")</f>
        <v>ICTVonline=201850441</v>
      </c>
      <c r="AA2500" s="1">
        <v>201850000</v>
      </c>
      <c r="AB2500" s="1">
        <v>34</v>
      </c>
    </row>
    <row r="2501" spans="1:28" x14ac:dyDescent="0.15">
      <c r="A2501" s="1">
        <v>6355</v>
      </c>
      <c r="J2501" s="1" t="s">
        <v>1332</v>
      </c>
      <c r="L2501" s="1" t="s">
        <v>1333</v>
      </c>
      <c r="N2501" s="1" t="s">
        <v>6318</v>
      </c>
      <c r="P2501" s="1" t="s">
        <v>2902</v>
      </c>
      <c r="Q2501" s="3">
        <v>0</v>
      </c>
      <c r="S2501" s="23" t="s">
        <v>5949</v>
      </c>
      <c r="T2501" s="23" t="s">
        <v>4931</v>
      </c>
      <c r="U2501" s="3">
        <v>34</v>
      </c>
      <c r="W2501" s="45" t="str">
        <f>HYPERLINK("http://ictvonline.org/taxonomy/p/taxonomy-history?taxnode_id=201850442","ICTVonline=201850442")</f>
        <v>ICTVonline=201850442</v>
      </c>
      <c r="AA2501" s="1">
        <v>201850000</v>
      </c>
      <c r="AB2501" s="1">
        <v>34</v>
      </c>
    </row>
    <row r="2502" spans="1:28" x14ac:dyDescent="0.15">
      <c r="A2502" s="1">
        <v>6357</v>
      </c>
      <c r="J2502" s="1" t="s">
        <v>1332</v>
      </c>
      <c r="L2502" s="1" t="s">
        <v>1333</v>
      </c>
      <c r="N2502" s="1" t="s">
        <v>6318</v>
      </c>
      <c r="P2502" s="1" t="s">
        <v>6320</v>
      </c>
      <c r="Q2502" s="3">
        <v>0</v>
      </c>
      <c r="S2502" s="23" t="s">
        <v>5949</v>
      </c>
      <c r="T2502" s="23" t="s">
        <v>4929</v>
      </c>
      <c r="U2502" s="3">
        <v>34</v>
      </c>
      <c r="V2502" s="3" t="s">
        <v>6181</v>
      </c>
      <c r="W2502" s="45" t="str">
        <f>HYPERLINK("http://ictvonline.org/taxonomy/p/taxonomy-history?taxnode_id=201857001","ICTVonline=201857001")</f>
        <v>ICTVonline=201857001</v>
      </c>
      <c r="AA2502" s="1">
        <v>201850000</v>
      </c>
      <c r="AB2502" s="1">
        <v>34</v>
      </c>
    </row>
    <row r="2503" spans="1:28" x14ac:dyDescent="0.15">
      <c r="A2503" s="1">
        <v>6361</v>
      </c>
      <c r="J2503" s="1" t="s">
        <v>1332</v>
      </c>
      <c r="L2503" s="1" t="s">
        <v>1333</v>
      </c>
      <c r="N2503" s="1" t="s">
        <v>6321</v>
      </c>
      <c r="P2503" s="1" t="s">
        <v>6322</v>
      </c>
      <c r="Q2503" s="3">
        <v>1</v>
      </c>
      <c r="S2503" s="23" t="s">
        <v>5949</v>
      </c>
      <c r="T2503" s="23" t="s">
        <v>4929</v>
      </c>
      <c r="U2503" s="3">
        <v>34</v>
      </c>
      <c r="V2503" s="3" t="s">
        <v>6323</v>
      </c>
      <c r="W2503" s="45" t="str">
        <f>HYPERLINK("http://ictvonline.org/taxonomy/p/taxonomy-history?taxnode_id=201856776","ICTVonline=201856776")</f>
        <v>ICTVonline=201856776</v>
      </c>
      <c r="AA2503" s="1">
        <v>201850000</v>
      </c>
      <c r="AB2503" s="1">
        <v>34</v>
      </c>
    </row>
    <row r="2504" spans="1:28" x14ac:dyDescent="0.15">
      <c r="A2504" s="1">
        <v>6365</v>
      </c>
      <c r="J2504" s="1" t="s">
        <v>1332</v>
      </c>
      <c r="L2504" s="1" t="s">
        <v>1333</v>
      </c>
      <c r="N2504" s="1" t="s">
        <v>6324</v>
      </c>
      <c r="P2504" s="1" t="s">
        <v>2907</v>
      </c>
      <c r="Q2504" s="3">
        <v>0</v>
      </c>
      <c r="S2504" s="23" t="s">
        <v>5949</v>
      </c>
      <c r="T2504" s="23" t="s">
        <v>4931</v>
      </c>
      <c r="U2504" s="3">
        <v>34</v>
      </c>
      <c r="W2504" s="45" t="str">
        <f>HYPERLINK("http://ictvonline.org/taxonomy/p/taxonomy-history?taxnode_id=201850461","ICTVonline=201850461")</f>
        <v>ICTVonline=201850461</v>
      </c>
      <c r="AA2504" s="1">
        <v>201850000</v>
      </c>
      <c r="AB2504" s="1">
        <v>34</v>
      </c>
    </row>
    <row r="2505" spans="1:28" x14ac:dyDescent="0.15">
      <c r="A2505" s="1">
        <v>6367</v>
      </c>
      <c r="J2505" s="1" t="s">
        <v>1332</v>
      </c>
      <c r="L2505" s="1" t="s">
        <v>1333</v>
      </c>
      <c r="N2505" s="1" t="s">
        <v>6324</v>
      </c>
      <c r="P2505" s="1" t="s">
        <v>2908</v>
      </c>
      <c r="Q2505" s="3">
        <v>1</v>
      </c>
      <c r="S2505" s="23" t="s">
        <v>5949</v>
      </c>
      <c r="T2505" s="23" t="s">
        <v>4931</v>
      </c>
      <c r="U2505" s="3">
        <v>34</v>
      </c>
      <c r="W2505" s="45" t="str">
        <f>HYPERLINK("http://ictvonline.org/taxonomy/p/taxonomy-history?taxnode_id=201850462","ICTVonline=201850462")</f>
        <v>ICTVonline=201850462</v>
      </c>
      <c r="AA2505" s="1">
        <v>201850000</v>
      </c>
      <c r="AB2505" s="1">
        <v>34</v>
      </c>
    </row>
    <row r="2506" spans="1:28" x14ac:dyDescent="0.15">
      <c r="A2506" s="1">
        <v>6369</v>
      </c>
      <c r="J2506" s="1" t="s">
        <v>1332</v>
      </c>
      <c r="L2506" s="1" t="s">
        <v>1333</v>
      </c>
      <c r="N2506" s="1" t="s">
        <v>6324</v>
      </c>
      <c r="P2506" s="1" t="s">
        <v>2909</v>
      </c>
      <c r="Q2506" s="3">
        <v>0</v>
      </c>
      <c r="S2506" s="23" t="s">
        <v>5949</v>
      </c>
      <c r="T2506" s="23" t="s">
        <v>4931</v>
      </c>
      <c r="U2506" s="3">
        <v>34</v>
      </c>
      <c r="W2506" s="45" t="str">
        <f>HYPERLINK("http://ictvonline.org/taxonomy/p/taxonomy-history?taxnode_id=201850463","ICTVonline=201850463")</f>
        <v>ICTVonline=201850463</v>
      </c>
      <c r="AA2506" s="1">
        <v>201850000</v>
      </c>
      <c r="AB2506" s="1">
        <v>34</v>
      </c>
    </row>
    <row r="2507" spans="1:28" x14ac:dyDescent="0.15">
      <c r="A2507" s="1">
        <v>6373</v>
      </c>
      <c r="J2507" s="1" t="s">
        <v>1332</v>
      </c>
      <c r="L2507" s="1" t="s">
        <v>1333</v>
      </c>
      <c r="N2507" s="1" t="s">
        <v>6325</v>
      </c>
      <c r="P2507" s="1" t="s">
        <v>6326</v>
      </c>
      <c r="Q2507" s="3">
        <v>1</v>
      </c>
      <c r="S2507" s="23" t="s">
        <v>5949</v>
      </c>
      <c r="T2507" s="23" t="s">
        <v>4929</v>
      </c>
      <c r="U2507" s="3">
        <v>34</v>
      </c>
      <c r="V2507" s="3" t="s">
        <v>6327</v>
      </c>
      <c r="W2507" s="45" t="str">
        <f>HYPERLINK("http://ictvonline.org/taxonomy/p/taxonomy-history?taxnode_id=201856327","ICTVonline=201856327")</f>
        <v>ICTVonline=201856327</v>
      </c>
      <c r="AA2507" s="1">
        <v>201850000</v>
      </c>
      <c r="AB2507" s="1">
        <v>34</v>
      </c>
    </row>
    <row r="2508" spans="1:28" x14ac:dyDescent="0.15">
      <c r="A2508" s="1">
        <v>6377</v>
      </c>
      <c r="J2508" s="1" t="s">
        <v>1332</v>
      </c>
      <c r="L2508" s="1" t="s">
        <v>1333</v>
      </c>
      <c r="N2508" s="1" t="s">
        <v>6328</v>
      </c>
      <c r="P2508" s="1" t="s">
        <v>2852</v>
      </c>
      <c r="Q2508" s="3">
        <v>0</v>
      </c>
      <c r="S2508" s="23" t="s">
        <v>5949</v>
      </c>
      <c r="T2508" s="23" t="s">
        <v>4931</v>
      </c>
      <c r="U2508" s="3">
        <v>34</v>
      </c>
      <c r="W2508" s="45" t="str">
        <f>HYPERLINK("http://ictvonline.org/taxonomy/p/taxonomy-history?taxnode_id=201850377","ICTVonline=201850377")</f>
        <v>ICTVonline=201850377</v>
      </c>
      <c r="AA2508" s="1">
        <v>201850000</v>
      </c>
      <c r="AB2508" s="1">
        <v>34</v>
      </c>
    </row>
    <row r="2509" spans="1:28" x14ac:dyDescent="0.15">
      <c r="A2509" s="1">
        <v>6379</v>
      </c>
      <c r="J2509" s="1" t="s">
        <v>1332</v>
      </c>
      <c r="L2509" s="1" t="s">
        <v>1333</v>
      </c>
      <c r="N2509" s="1" t="s">
        <v>6328</v>
      </c>
      <c r="P2509" s="1" t="s">
        <v>2853</v>
      </c>
      <c r="Q2509" s="3">
        <v>0</v>
      </c>
      <c r="S2509" s="23" t="s">
        <v>5949</v>
      </c>
      <c r="T2509" s="23" t="s">
        <v>4931</v>
      </c>
      <c r="U2509" s="3">
        <v>34</v>
      </c>
      <c r="W2509" s="45" t="str">
        <f>HYPERLINK("http://ictvonline.org/taxonomy/p/taxonomy-history?taxnode_id=201850378","ICTVonline=201850378")</f>
        <v>ICTVonline=201850378</v>
      </c>
      <c r="AA2509" s="1">
        <v>201850000</v>
      </c>
      <c r="AB2509" s="1">
        <v>34</v>
      </c>
    </row>
    <row r="2510" spans="1:28" x14ac:dyDescent="0.15">
      <c r="A2510" s="1">
        <v>6381</v>
      </c>
      <c r="J2510" s="1" t="s">
        <v>1332</v>
      </c>
      <c r="L2510" s="1" t="s">
        <v>1333</v>
      </c>
      <c r="N2510" s="1" t="s">
        <v>6328</v>
      </c>
      <c r="P2510" s="1" t="s">
        <v>2854</v>
      </c>
      <c r="Q2510" s="3">
        <v>0</v>
      </c>
      <c r="S2510" s="23" t="s">
        <v>5949</v>
      </c>
      <c r="T2510" s="23" t="s">
        <v>4931</v>
      </c>
      <c r="U2510" s="3">
        <v>34</v>
      </c>
      <c r="W2510" s="45" t="str">
        <f>HYPERLINK("http://ictvonline.org/taxonomy/p/taxonomy-history?taxnode_id=201850379","ICTVonline=201850379")</f>
        <v>ICTVonline=201850379</v>
      </c>
      <c r="AA2510" s="1">
        <v>201850000</v>
      </c>
      <c r="AB2510" s="1">
        <v>34</v>
      </c>
    </row>
    <row r="2511" spans="1:28" x14ac:dyDescent="0.15">
      <c r="A2511" s="1">
        <v>6383</v>
      </c>
      <c r="J2511" s="1" t="s">
        <v>1332</v>
      </c>
      <c r="L2511" s="1" t="s">
        <v>1333</v>
      </c>
      <c r="N2511" s="1" t="s">
        <v>6328</v>
      </c>
      <c r="P2511" s="1" t="s">
        <v>6329</v>
      </c>
      <c r="Q2511" s="3">
        <v>0</v>
      </c>
      <c r="S2511" s="23" t="s">
        <v>5949</v>
      </c>
      <c r="T2511" s="23" t="s">
        <v>4929</v>
      </c>
      <c r="U2511" s="3">
        <v>34</v>
      </c>
      <c r="V2511" s="3" t="s">
        <v>6330</v>
      </c>
      <c r="W2511" s="45" t="str">
        <f>HYPERLINK("http://ictvonline.org/taxonomy/p/taxonomy-history?taxnode_id=201856922","ICTVonline=201856922")</f>
        <v>ICTVonline=201856922</v>
      </c>
      <c r="AA2511" s="1">
        <v>201850000</v>
      </c>
      <c r="AB2511" s="1">
        <v>34</v>
      </c>
    </row>
    <row r="2512" spans="1:28" x14ac:dyDescent="0.15">
      <c r="A2512" s="1">
        <v>6385</v>
      </c>
      <c r="J2512" s="1" t="s">
        <v>1332</v>
      </c>
      <c r="L2512" s="1" t="s">
        <v>1333</v>
      </c>
      <c r="N2512" s="1" t="s">
        <v>6328</v>
      </c>
      <c r="P2512" s="1" t="s">
        <v>2855</v>
      </c>
      <c r="Q2512" s="3">
        <v>1</v>
      </c>
      <c r="S2512" s="23" t="s">
        <v>5949</v>
      </c>
      <c r="T2512" s="23" t="s">
        <v>4931</v>
      </c>
      <c r="U2512" s="3">
        <v>34</v>
      </c>
      <c r="W2512" s="45" t="str">
        <f>HYPERLINK("http://ictvonline.org/taxonomy/p/taxonomy-history?taxnode_id=201850380","ICTVonline=201850380")</f>
        <v>ICTVonline=201850380</v>
      </c>
      <c r="AA2512" s="1">
        <v>201850000</v>
      </c>
      <c r="AB2512" s="1">
        <v>34</v>
      </c>
    </row>
    <row r="2513" spans="1:28" x14ac:dyDescent="0.15">
      <c r="A2513" s="1">
        <v>6387</v>
      </c>
      <c r="J2513" s="1" t="s">
        <v>1332</v>
      </c>
      <c r="L2513" s="1" t="s">
        <v>1333</v>
      </c>
      <c r="N2513" s="1" t="s">
        <v>6328</v>
      </c>
      <c r="P2513" s="1" t="s">
        <v>6331</v>
      </c>
      <c r="Q2513" s="3">
        <v>0</v>
      </c>
      <c r="S2513" s="23" t="s">
        <v>5949</v>
      </c>
      <c r="T2513" s="23" t="s">
        <v>4929</v>
      </c>
      <c r="U2513" s="3">
        <v>34</v>
      </c>
      <c r="V2513" s="3" t="s">
        <v>6330</v>
      </c>
      <c r="W2513" s="45" t="str">
        <f>HYPERLINK("http://ictvonline.org/taxonomy/p/taxonomy-history?taxnode_id=201856921","ICTVonline=201856921")</f>
        <v>ICTVonline=201856921</v>
      </c>
      <c r="AA2513" s="1">
        <v>201850000</v>
      </c>
      <c r="AB2513" s="1">
        <v>34</v>
      </c>
    </row>
    <row r="2514" spans="1:28" x14ac:dyDescent="0.15">
      <c r="A2514" s="1">
        <v>6389</v>
      </c>
      <c r="J2514" s="1" t="s">
        <v>1332</v>
      </c>
      <c r="L2514" s="1" t="s">
        <v>1333</v>
      </c>
      <c r="N2514" s="1" t="s">
        <v>6328</v>
      </c>
      <c r="P2514" s="1" t="s">
        <v>6332</v>
      </c>
      <c r="Q2514" s="3">
        <v>0</v>
      </c>
      <c r="S2514" s="23" t="s">
        <v>5949</v>
      </c>
      <c r="T2514" s="23" t="s">
        <v>4929</v>
      </c>
      <c r="U2514" s="3">
        <v>34</v>
      </c>
      <c r="V2514" s="3" t="s">
        <v>6330</v>
      </c>
      <c r="W2514" s="45" t="str">
        <f>HYPERLINK("http://ictvonline.org/taxonomy/p/taxonomy-history?taxnode_id=201856919","ICTVonline=201856919")</f>
        <v>ICTVonline=201856919</v>
      </c>
      <c r="AA2514" s="1">
        <v>201850000</v>
      </c>
      <c r="AB2514" s="1">
        <v>34</v>
      </c>
    </row>
    <row r="2515" spans="1:28" x14ac:dyDescent="0.15">
      <c r="A2515" s="1">
        <v>6391</v>
      </c>
      <c r="J2515" s="1" t="s">
        <v>1332</v>
      </c>
      <c r="L2515" s="1" t="s">
        <v>1333</v>
      </c>
      <c r="N2515" s="1" t="s">
        <v>6328</v>
      </c>
      <c r="P2515" s="1" t="s">
        <v>6333</v>
      </c>
      <c r="Q2515" s="3">
        <v>0</v>
      </c>
      <c r="S2515" s="23" t="s">
        <v>5949</v>
      </c>
      <c r="T2515" s="23" t="s">
        <v>4929</v>
      </c>
      <c r="U2515" s="3">
        <v>34</v>
      </c>
      <c r="V2515" s="3" t="s">
        <v>6330</v>
      </c>
      <c r="W2515" s="45" t="str">
        <f>HYPERLINK("http://ictvonline.org/taxonomy/p/taxonomy-history?taxnode_id=201856920","ICTVonline=201856920")</f>
        <v>ICTVonline=201856920</v>
      </c>
      <c r="AA2515" s="1">
        <v>201850000</v>
      </c>
      <c r="AB2515" s="1">
        <v>34</v>
      </c>
    </row>
    <row r="2516" spans="1:28" x14ac:dyDescent="0.15">
      <c r="A2516" s="1">
        <v>6395</v>
      </c>
      <c r="J2516" s="1" t="s">
        <v>1332</v>
      </c>
      <c r="L2516" s="1" t="s">
        <v>1333</v>
      </c>
      <c r="N2516" s="1" t="s">
        <v>6334</v>
      </c>
      <c r="P2516" s="1" t="s">
        <v>6335</v>
      </c>
      <c r="Q2516" s="3">
        <v>1</v>
      </c>
      <c r="S2516" s="23" t="s">
        <v>5949</v>
      </c>
      <c r="T2516" s="23" t="s">
        <v>4929</v>
      </c>
      <c r="U2516" s="3">
        <v>34</v>
      </c>
      <c r="V2516" s="3" t="s">
        <v>6336</v>
      </c>
      <c r="W2516" s="45" t="str">
        <f>HYPERLINK("http://ictvonline.org/taxonomy/p/taxonomy-history?taxnode_id=201856854","ICTVonline=201856854")</f>
        <v>ICTVonline=201856854</v>
      </c>
      <c r="AA2516" s="1">
        <v>201850000</v>
      </c>
      <c r="AB2516" s="1">
        <v>34</v>
      </c>
    </row>
    <row r="2517" spans="1:28" x14ac:dyDescent="0.15">
      <c r="A2517" s="1">
        <v>6397</v>
      </c>
      <c r="J2517" s="1" t="s">
        <v>1332</v>
      </c>
      <c r="L2517" s="1" t="s">
        <v>1333</v>
      </c>
      <c r="N2517" s="1" t="s">
        <v>6334</v>
      </c>
      <c r="P2517" s="1" t="s">
        <v>6337</v>
      </c>
      <c r="Q2517" s="3">
        <v>0</v>
      </c>
      <c r="S2517" s="23" t="s">
        <v>5949</v>
      </c>
      <c r="T2517" s="23" t="s">
        <v>4929</v>
      </c>
      <c r="U2517" s="3">
        <v>34</v>
      </c>
      <c r="V2517" s="3" t="s">
        <v>6336</v>
      </c>
      <c r="W2517" s="45" t="str">
        <f>HYPERLINK("http://ictvonline.org/taxonomy/p/taxonomy-history?taxnode_id=201856855","ICTVonline=201856855")</f>
        <v>ICTVonline=201856855</v>
      </c>
      <c r="AA2517" s="1">
        <v>201850000</v>
      </c>
      <c r="AB2517" s="1">
        <v>34</v>
      </c>
    </row>
    <row r="2518" spans="1:28" x14ac:dyDescent="0.15">
      <c r="A2518" s="1">
        <v>6401</v>
      </c>
      <c r="J2518" s="1" t="s">
        <v>1332</v>
      </c>
      <c r="L2518" s="1" t="s">
        <v>1333</v>
      </c>
      <c r="N2518" s="1" t="s">
        <v>2912</v>
      </c>
      <c r="P2518" s="1" t="s">
        <v>2913</v>
      </c>
      <c r="Q2518" s="3">
        <v>0</v>
      </c>
      <c r="S2518" s="23" t="s">
        <v>5949</v>
      </c>
      <c r="W2518" s="45" t="str">
        <f>HYPERLINK("http://ictvonline.org/taxonomy/p/taxonomy-history?taxnode_id=201850468","ICTVonline=201850468")</f>
        <v>ICTVonline=201850468</v>
      </c>
      <c r="AA2518" s="1">
        <v>201850000</v>
      </c>
      <c r="AB2518" s="1">
        <v>34</v>
      </c>
    </row>
    <row r="2519" spans="1:28" x14ac:dyDescent="0.15">
      <c r="A2519" s="1">
        <v>6403</v>
      </c>
      <c r="J2519" s="1" t="s">
        <v>1332</v>
      </c>
      <c r="L2519" s="1" t="s">
        <v>1333</v>
      </c>
      <c r="N2519" s="1" t="s">
        <v>2912</v>
      </c>
      <c r="P2519" s="1" t="s">
        <v>2914</v>
      </c>
      <c r="Q2519" s="3">
        <v>0</v>
      </c>
      <c r="S2519" s="23" t="s">
        <v>5949</v>
      </c>
      <c r="W2519" s="45" t="str">
        <f>HYPERLINK("http://ictvonline.org/taxonomy/p/taxonomy-history?taxnode_id=201850469","ICTVonline=201850469")</f>
        <v>ICTVonline=201850469</v>
      </c>
      <c r="AA2519" s="1">
        <v>201850000</v>
      </c>
      <c r="AB2519" s="1">
        <v>34</v>
      </c>
    </row>
    <row r="2520" spans="1:28" x14ac:dyDescent="0.15">
      <c r="A2520" s="1">
        <v>6405</v>
      </c>
      <c r="J2520" s="1" t="s">
        <v>1332</v>
      </c>
      <c r="L2520" s="1" t="s">
        <v>1333</v>
      </c>
      <c r="N2520" s="1" t="s">
        <v>2912</v>
      </c>
      <c r="P2520" s="1" t="s">
        <v>2915</v>
      </c>
      <c r="Q2520" s="3">
        <v>0</v>
      </c>
      <c r="S2520" s="23" t="s">
        <v>5949</v>
      </c>
      <c r="W2520" s="45" t="str">
        <f>HYPERLINK("http://ictvonline.org/taxonomy/p/taxonomy-history?taxnode_id=201850470","ICTVonline=201850470")</f>
        <v>ICTVonline=201850470</v>
      </c>
      <c r="AA2520" s="1">
        <v>201850000</v>
      </c>
      <c r="AB2520" s="1">
        <v>34</v>
      </c>
    </row>
    <row r="2521" spans="1:28" x14ac:dyDescent="0.15">
      <c r="A2521" s="1">
        <v>6407</v>
      </c>
      <c r="J2521" s="1" t="s">
        <v>1332</v>
      </c>
      <c r="L2521" s="1" t="s">
        <v>1333</v>
      </c>
      <c r="N2521" s="1" t="s">
        <v>2912</v>
      </c>
      <c r="P2521" s="1" t="s">
        <v>6338</v>
      </c>
      <c r="Q2521" s="3">
        <v>0</v>
      </c>
      <c r="S2521" s="23" t="s">
        <v>5949</v>
      </c>
      <c r="T2521" s="23" t="s">
        <v>4929</v>
      </c>
      <c r="U2521" s="3">
        <v>34</v>
      </c>
      <c r="V2521" s="3" t="s">
        <v>6181</v>
      </c>
      <c r="W2521" s="45" t="str">
        <f>HYPERLINK("http://ictvonline.org/taxonomy/p/taxonomy-history?taxnode_id=201857020","ICTVonline=201857020")</f>
        <v>ICTVonline=201857020</v>
      </c>
      <c r="AA2521" s="1">
        <v>201850000</v>
      </c>
      <c r="AB2521" s="1">
        <v>34</v>
      </c>
    </row>
    <row r="2522" spans="1:28" x14ac:dyDescent="0.15">
      <c r="A2522" s="1">
        <v>6409</v>
      </c>
      <c r="J2522" s="1" t="s">
        <v>1332</v>
      </c>
      <c r="L2522" s="1" t="s">
        <v>1333</v>
      </c>
      <c r="N2522" s="1" t="s">
        <v>2912</v>
      </c>
      <c r="P2522" s="1" t="s">
        <v>6339</v>
      </c>
      <c r="Q2522" s="3">
        <v>0</v>
      </c>
      <c r="S2522" s="23" t="s">
        <v>5949</v>
      </c>
      <c r="T2522" s="23" t="s">
        <v>4929</v>
      </c>
      <c r="U2522" s="3">
        <v>34</v>
      </c>
      <c r="V2522" s="3" t="s">
        <v>6181</v>
      </c>
      <c r="W2522" s="45" t="str">
        <f>HYPERLINK("http://ictvonline.org/taxonomy/p/taxonomy-history?taxnode_id=201857017","ICTVonline=201857017")</f>
        <v>ICTVonline=201857017</v>
      </c>
      <c r="AA2522" s="1">
        <v>201850000</v>
      </c>
      <c r="AB2522" s="1">
        <v>34</v>
      </c>
    </row>
    <row r="2523" spans="1:28" x14ac:dyDescent="0.15">
      <c r="A2523" s="1">
        <v>6411</v>
      </c>
      <c r="J2523" s="1" t="s">
        <v>1332</v>
      </c>
      <c r="L2523" s="1" t="s">
        <v>1333</v>
      </c>
      <c r="N2523" s="1" t="s">
        <v>2912</v>
      </c>
      <c r="P2523" s="1" t="s">
        <v>2916</v>
      </c>
      <c r="Q2523" s="3">
        <v>1</v>
      </c>
      <c r="S2523" s="23" t="s">
        <v>5949</v>
      </c>
      <c r="W2523" s="45" t="str">
        <f>HYPERLINK("http://ictvonline.org/taxonomy/p/taxonomy-history?taxnode_id=201850471","ICTVonline=201850471")</f>
        <v>ICTVonline=201850471</v>
      </c>
      <c r="AA2523" s="1">
        <v>201850000</v>
      </c>
      <c r="AB2523" s="1">
        <v>34</v>
      </c>
    </row>
    <row r="2524" spans="1:28" x14ac:dyDescent="0.15">
      <c r="A2524" s="1">
        <v>6413</v>
      </c>
      <c r="J2524" s="1" t="s">
        <v>1332</v>
      </c>
      <c r="L2524" s="1" t="s">
        <v>1333</v>
      </c>
      <c r="N2524" s="1" t="s">
        <v>2912</v>
      </c>
      <c r="P2524" s="1" t="s">
        <v>6340</v>
      </c>
      <c r="Q2524" s="3">
        <v>0</v>
      </c>
      <c r="S2524" s="23" t="s">
        <v>5949</v>
      </c>
      <c r="T2524" s="23" t="s">
        <v>4929</v>
      </c>
      <c r="U2524" s="3">
        <v>34</v>
      </c>
      <c r="V2524" s="3" t="s">
        <v>6181</v>
      </c>
      <c r="W2524" s="45" t="str">
        <f>HYPERLINK("http://ictvonline.org/taxonomy/p/taxonomy-history?taxnode_id=201857019","ICTVonline=201857019")</f>
        <v>ICTVonline=201857019</v>
      </c>
      <c r="AA2524" s="1">
        <v>201850000</v>
      </c>
      <c r="AB2524" s="1">
        <v>34</v>
      </c>
    </row>
    <row r="2525" spans="1:28" x14ac:dyDescent="0.15">
      <c r="A2525" s="1">
        <v>6415</v>
      </c>
      <c r="J2525" s="1" t="s">
        <v>1332</v>
      </c>
      <c r="L2525" s="1" t="s">
        <v>1333</v>
      </c>
      <c r="N2525" s="1" t="s">
        <v>2912</v>
      </c>
      <c r="P2525" s="1" t="s">
        <v>2917</v>
      </c>
      <c r="Q2525" s="3">
        <v>0</v>
      </c>
      <c r="S2525" s="23" t="s">
        <v>5949</v>
      </c>
      <c r="W2525" s="45" t="str">
        <f>HYPERLINK("http://ictvonline.org/taxonomy/p/taxonomy-history?taxnode_id=201850472","ICTVonline=201850472")</f>
        <v>ICTVonline=201850472</v>
      </c>
      <c r="AA2525" s="1">
        <v>201850000</v>
      </c>
      <c r="AB2525" s="1">
        <v>34</v>
      </c>
    </row>
    <row r="2526" spans="1:28" x14ac:dyDescent="0.15">
      <c r="A2526" s="1">
        <v>6417</v>
      </c>
      <c r="J2526" s="1" t="s">
        <v>1332</v>
      </c>
      <c r="L2526" s="1" t="s">
        <v>1333</v>
      </c>
      <c r="N2526" s="1" t="s">
        <v>2912</v>
      </c>
      <c r="P2526" s="1" t="s">
        <v>2918</v>
      </c>
      <c r="Q2526" s="3">
        <v>0</v>
      </c>
      <c r="S2526" s="23" t="s">
        <v>5949</v>
      </c>
      <c r="W2526" s="45" t="str">
        <f>HYPERLINK("http://ictvonline.org/taxonomy/p/taxonomy-history?taxnode_id=201850473","ICTVonline=201850473")</f>
        <v>ICTVonline=201850473</v>
      </c>
      <c r="AA2526" s="1">
        <v>201850000</v>
      </c>
      <c r="AB2526" s="1">
        <v>34</v>
      </c>
    </row>
    <row r="2527" spans="1:28" x14ac:dyDescent="0.15">
      <c r="A2527" s="1">
        <v>6419</v>
      </c>
      <c r="J2527" s="1" t="s">
        <v>1332</v>
      </c>
      <c r="L2527" s="1" t="s">
        <v>1333</v>
      </c>
      <c r="N2527" s="1" t="s">
        <v>2912</v>
      </c>
      <c r="P2527" s="1" t="s">
        <v>6341</v>
      </c>
      <c r="Q2527" s="3">
        <v>0</v>
      </c>
      <c r="S2527" s="23" t="s">
        <v>5949</v>
      </c>
      <c r="T2527" s="23" t="s">
        <v>4929</v>
      </c>
      <c r="U2527" s="3">
        <v>34</v>
      </c>
      <c r="V2527" s="3" t="s">
        <v>6181</v>
      </c>
      <c r="W2527" s="45" t="str">
        <f>HYPERLINK("http://ictvonline.org/taxonomy/p/taxonomy-history?taxnode_id=201857018","ICTVonline=201857018")</f>
        <v>ICTVonline=201857018</v>
      </c>
      <c r="AA2527" s="1">
        <v>201850000</v>
      </c>
      <c r="AB2527" s="1">
        <v>34</v>
      </c>
    </row>
    <row r="2528" spans="1:28" x14ac:dyDescent="0.15">
      <c r="A2528" s="1">
        <v>6421</v>
      </c>
      <c r="J2528" s="1" t="s">
        <v>1332</v>
      </c>
      <c r="L2528" s="1" t="s">
        <v>1333</v>
      </c>
      <c r="N2528" s="1" t="s">
        <v>2912</v>
      </c>
      <c r="P2528" s="1" t="s">
        <v>6342</v>
      </c>
      <c r="Q2528" s="3">
        <v>0</v>
      </c>
      <c r="S2528" s="23" t="s">
        <v>5949</v>
      </c>
      <c r="T2528" s="23" t="s">
        <v>4929</v>
      </c>
      <c r="U2528" s="3">
        <v>34</v>
      </c>
      <c r="V2528" s="3" t="s">
        <v>6181</v>
      </c>
      <c r="W2528" s="45" t="str">
        <f>HYPERLINK("http://ictvonline.org/taxonomy/p/taxonomy-history?taxnode_id=201857016","ICTVonline=201857016")</f>
        <v>ICTVonline=201857016</v>
      </c>
      <c r="AA2528" s="1">
        <v>201850000</v>
      </c>
      <c r="AB2528" s="1">
        <v>34</v>
      </c>
    </row>
    <row r="2529" spans="1:28" x14ac:dyDescent="0.15">
      <c r="A2529" s="1">
        <v>6425</v>
      </c>
      <c r="J2529" s="1" t="s">
        <v>1332</v>
      </c>
      <c r="L2529" s="1" t="s">
        <v>1333</v>
      </c>
      <c r="N2529" s="1" t="s">
        <v>2919</v>
      </c>
      <c r="P2529" s="1" t="s">
        <v>2920</v>
      </c>
      <c r="Q2529" s="3">
        <v>0</v>
      </c>
      <c r="S2529" s="23" t="s">
        <v>5949</v>
      </c>
      <c r="W2529" s="45" t="str">
        <f>HYPERLINK("http://ictvonline.org/taxonomy/p/taxonomy-history?taxnode_id=201850475","ICTVonline=201850475")</f>
        <v>ICTVonline=201850475</v>
      </c>
      <c r="AA2529" s="1">
        <v>201850000</v>
      </c>
      <c r="AB2529" s="1">
        <v>34</v>
      </c>
    </row>
    <row r="2530" spans="1:28" x14ac:dyDescent="0.15">
      <c r="A2530" s="1">
        <v>6427</v>
      </c>
      <c r="J2530" s="1" t="s">
        <v>1332</v>
      </c>
      <c r="L2530" s="1" t="s">
        <v>1333</v>
      </c>
      <c r="N2530" s="1" t="s">
        <v>2919</v>
      </c>
      <c r="P2530" s="1" t="s">
        <v>2921</v>
      </c>
      <c r="Q2530" s="3">
        <v>0</v>
      </c>
      <c r="S2530" s="23" t="s">
        <v>5949</v>
      </c>
      <c r="W2530" s="45" t="str">
        <f>HYPERLINK("http://ictvonline.org/taxonomy/p/taxonomy-history?taxnode_id=201850476","ICTVonline=201850476")</f>
        <v>ICTVonline=201850476</v>
      </c>
      <c r="AA2530" s="1">
        <v>201850000</v>
      </c>
      <c r="AB2530" s="1">
        <v>34</v>
      </c>
    </row>
    <row r="2531" spans="1:28" x14ac:dyDescent="0.15">
      <c r="A2531" s="1">
        <v>6429</v>
      </c>
      <c r="J2531" s="1" t="s">
        <v>1332</v>
      </c>
      <c r="L2531" s="1" t="s">
        <v>1333</v>
      </c>
      <c r="N2531" s="1" t="s">
        <v>2919</v>
      </c>
      <c r="P2531" s="1" t="s">
        <v>2922</v>
      </c>
      <c r="Q2531" s="3">
        <v>0</v>
      </c>
      <c r="S2531" s="23" t="s">
        <v>5949</v>
      </c>
      <c r="W2531" s="45" t="str">
        <f>HYPERLINK("http://ictvonline.org/taxonomy/p/taxonomy-history?taxnode_id=201850477","ICTVonline=201850477")</f>
        <v>ICTVonline=201850477</v>
      </c>
      <c r="AA2531" s="1">
        <v>201850000</v>
      </c>
      <c r="AB2531" s="1">
        <v>34</v>
      </c>
    </row>
    <row r="2532" spans="1:28" x14ac:dyDescent="0.15">
      <c r="A2532" s="1">
        <v>6431</v>
      </c>
      <c r="J2532" s="1" t="s">
        <v>1332</v>
      </c>
      <c r="L2532" s="1" t="s">
        <v>1333</v>
      </c>
      <c r="N2532" s="1" t="s">
        <v>2919</v>
      </c>
      <c r="P2532" s="1" t="s">
        <v>6343</v>
      </c>
      <c r="Q2532" s="3">
        <v>0</v>
      </c>
      <c r="S2532" s="23" t="s">
        <v>5949</v>
      </c>
      <c r="T2532" s="23" t="s">
        <v>4929</v>
      </c>
      <c r="U2532" s="3">
        <v>34</v>
      </c>
      <c r="V2532" s="3" t="s">
        <v>6181</v>
      </c>
      <c r="W2532" s="45" t="str">
        <f>HYPERLINK("http://ictvonline.org/taxonomy/p/taxonomy-history?taxnode_id=201857023","ICTVonline=201857023")</f>
        <v>ICTVonline=201857023</v>
      </c>
      <c r="AA2532" s="1">
        <v>201850000</v>
      </c>
      <c r="AB2532" s="1">
        <v>34</v>
      </c>
    </row>
    <row r="2533" spans="1:28" x14ac:dyDescent="0.15">
      <c r="A2533" s="1">
        <v>6433</v>
      </c>
      <c r="J2533" s="1" t="s">
        <v>1332</v>
      </c>
      <c r="L2533" s="1" t="s">
        <v>1333</v>
      </c>
      <c r="N2533" s="1" t="s">
        <v>2919</v>
      </c>
      <c r="P2533" s="1" t="s">
        <v>2923</v>
      </c>
      <c r="Q2533" s="3">
        <v>0</v>
      </c>
      <c r="S2533" s="23" t="s">
        <v>5949</v>
      </c>
      <c r="W2533" s="45" t="str">
        <f>HYPERLINK("http://ictvonline.org/taxonomy/p/taxonomy-history?taxnode_id=201850478","ICTVonline=201850478")</f>
        <v>ICTVonline=201850478</v>
      </c>
      <c r="AA2533" s="1">
        <v>201850000</v>
      </c>
      <c r="AB2533" s="1">
        <v>34</v>
      </c>
    </row>
    <row r="2534" spans="1:28" x14ac:dyDescent="0.15">
      <c r="A2534" s="1">
        <v>6435</v>
      </c>
      <c r="J2534" s="1" t="s">
        <v>1332</v>
      </c>
      <c r="L2534" s="1" t="s">
        <v>1333</v>
      </c>
      <c r="N2534" s="1" t="s">
        <v>2919</v>
      </c>
      <c r="P2534" s="1" t="s">
        <v>2924</v>
      </c>
      <c r="Q2534" s="3">
        <v>0</v>
      </c>
      <c r="S2534" s="23" t="s">
        <v>5949</v>
      </c>
      <c r="W2534" s="45" t="str">
        <f>HYPERLINK("http://ictvonline.org/taxonomy/p/taxonomy-history?taxnode_id=201850479","ICTVonline=201850479")</f>
        <v>ICTVonline=201850479</v>
      </c>
      <c r="AA2534" s="1">
        <v>201850000</v>
      </c>
      <c r="AB2534" s="1">
        <v>34</v>
      </c>
    </row>
    <row r="2535" spans="1:28" x14ac:dyDescent="0.15">
      <c r="A2535" s="1">
        <v>6437</v>
      </c>
      <c r="J2535" s="1" t="s">
        <v>1332</v>
      </c>
      <c r="L2535" s="1" t="s">
        <v>1333</v>
      </c>
      <c r="N2535" s="1" t="s">
        <v>2919</v>
      </c>
      <c r="P2535" s="1" t="s">
        <v>6344</v>
      </c>
      <c r="Q2535" s="3">
        <v>0</v>
      </c>
      <c r="S2535" s="23" t="s">
        <v>5949</v>
      </c>
      <c r="T2535" s="23" t="s">
        <v>4929</v>
      </c>
      <c r="U2535" s="3">
        <v>34</v>
      </c>
      <c r="V2535" s="3" t="s">
        <v>6181</v>
      </c>
      <c r="W2535" s="45" t="str">
        <f>HYPERLINK("http://ictvonline.org/taxonomy/p/taxonomy-history?taxnode_id=201857024","ICTVonline=201857024")</f>
        <v>ICTVonline=201857024</v>
      </c>
      <c r="AA2535" s="1">
        <v>201850000</v>
      </c>
      <c r="AB2535" s="1">
        <v>34</v>
      </c>
    </row>
    <row r="2536" spans="1:28" x14ac:dyDescent="0.15">
      <c r="A2536" s="1">
        <v>6439</v>
      </c>
      <c r="J2536" s="1" t="s">
        <v>1332</v>
      </c>
      <c r="L2536" s="1" t="s">
        <v>1333</v>
      </c>
      <c r="N2536" s="1" t="s">
        <v>2919</v>
      </c>
      <c r="P2536" s="1" t="s">
        <v>6345</v>
      </c>
      <c r="Q2536" s="3">
        <v>0</v>
      </c>
      <c r="S2536" s="23" t="s">
        <v>5949</v>
      </c>
      <c r="T2536" s="23" t="s">
        <v>4929</v>
      </c>
      <c r="U2536" s="3">
        <v>34</v>
      </c>
      <c r="V2536" s="3" t="s">
        <v>6181</v>
      </c>
      <c r="W2536" s="45" t="str">
        <f>HYPERLINK("http://ictvonline.org/taxonomy/p/taxonomy-history?taxnode_id=201857025","ICTVonline=201857025")</f>
        <v>ICTVonline=201857025</v>
      </c>
      <c r="AA2536" s="1">
        <v>201850000</v>
      </c>
      <c r="AB2536" s="1">
        <v>34</v>
      </c>
    </row>
    <row r="2537" spans="1:28" x14ac:dyDescent="0.15">
      <c r="A2537" s="1">
        <v>6441</v>
      </c>
      <c r="J2537" s="1" t="s">
        <v>1332</v>
      </c>
      <c r="L2537" s="1" t="s">
        <v>1333</v>
      </c>
      <c r="N2537" s="1" t="s">
        <v>2919</v>
      </c>
      <c r="P2537" s="1" t="s">
        <v>2925</v>
      </c>
      <c r="Q2537" s="3">
        <v>0</v>
      </c>
      <c r="S2537" s="23" t="s">
        <v>5949</v>
      </c>
      <c r="W2537" s="45" t="str">
        <f>HYPERLINK("http://ictvonline.org/taxonomy/p/taxonomy-history?taxnode_id=201850480","ICTVonline=201850480")</f>
        <v>ICTVonline=201850480</v>
      </c>
      <c r="AA2537" s="1">
        <v>201850000</v>
      </c>
      <c r="AB2537" s="1">
        <v>34</v>
      </c>
    </row>
    <row r="2538" spans="1:28" x14ac:dyDescent="0.15">
      <c r="A2538" s="1">
        <v>6443</v>
      </c>
      <c r="J2538" s="1" t="s">
        <v>1332</v>
      </c>
      <c r="L2538" s="1" t="s">
        <v>1333</v>
      </c>
      <c r="N2538" s="1" t="s">
        <v>2919</v>
      </c>
      <c r="P2538" s="1" t="s">
        <v>2926</v>
      </c>
      <c r="Q2538" s="3">
        <v>0</v>
      </c>
      <c r="S2538" s="23" t="s">
        <v>5949</v>
      </c>
      <c r="W2538" s="45" t="str">
        <f>HYPERLINK("http://ictvonline.org/taxonomy/p/taxonomy-history?taxnode_id=201850481","ICTVonline=201850481")</f>
        <v>ICTVonline=201850481</v>
      </c>
      <c r="AA2538" s="1">
        <v>201850000</v>
      </c>
      <c r="AB2538" s="1">
        <v>34</v>
      </c>
    </row>
    <row r="2539" spans="1:28" x14ac:dyDescent="0.15">
      <c r="A2539" s="1">
        <v>6445</v>
      </c>
      <c r="J2539" s="1" t="s">
        <v>1332</v>
      </c>
      <c r="L2539" s="1" t="s">
        <v>1333</v>
      </c>
      <c r="N2539" s="1" t="s">
        <v>2919</v>
      </c>
      <c r="P2539" s="1" t="s">
        <v>2927</v>
      </c>
      <c r="Q2539" s="3">
        <v>0</v>
      </c>
      <c r="S2539" s="23" t="s">
        <v>5949</v>
      </c>
      <c r="W2539" s="45" t="str">
        <f>HYPERLINK("http://ictvonline.org/taxonomy/p/taxonomy-history?taxnode_id=201850482","ICTVonline=201850482")</f>
        <v>ICTVonline=201850482</v>
      </c>
      <c r="AA2539" s="1">
        <v>201850000</v>
      </c>
      <c r="AB2539" s="1">
        <v>34</v>
      </c>
    </row>
    <row r="2540" spans="1:28" x14ac:dyDescent="0.15">
      <c r="A2540" s="1">
        <v>6447</v>
      </c>
      <c r="J2540" s="1" t="s">
        <v>1332</v>
      </c>
      <c r="L2540" s="1" t="s">
        <v>1333</v>
      </c>
      <c r="N2540" s="1" t="s">
        <v>2919</v>
      </c>
      <c r="P2540" s="1" t="s">
        <v>6346</v>
      </c>
      <c r="Q2540" s="3">
        <v>0</v>
      </c>
      <c r="S2540" s="23" t="s">
        <v>5949</v>
      </c>
      <c r="T2540" s="23" t="s">
        <v>4929</v>
      </c>
      <c r="U2540" s="3">
        <v>34</v>
      </c>
      <c r="V2540" s="3" t="s">
        <v>6181</v>
      </c>
      <c r="W2540" s="45" t="str">
        <f>HYPERLINK("http://ictvonline.org/taxonomy/p/taxonomy-history?taxnode_id=201857021","ICTVonline=201857021")</f>
        <v>ICTVonline=201857021</v>
      </c>
      <c r="AA2540" s="1">
        <v>201850000</v>
      </c>
      <c r="AB2540" s="1">
        <v>34</v>
      </c>
    </row>
    <row r="2541" spans="1:28" x14ac:dyDescent="0.15">
      <c r="A2541" s="1">
        <v>6449</v>
      </c>
      <c r="J2541" s="1" t="s">
        <v>1332</v>
      </c>
      <c r="L2541" s="1" t="s">
        <v>1333</v>
      </c>
      <c r="N2541" s="1" t="s">
        <v>2919</v>
      </c>
      <c r="P2541" s="1" t="s">
        <v>2928</v>
      </c>
      <c r="Q2541" s="3">
        <v>0</v>
      </c>
      <c r="S2541" s="23" t="s">
        <v>5949</v>
      </c>
      <c r="W2541" s="45" t="str">
        <f>HYPERLINK("http://ictvonline.org/taxonomy/p/taxonomy-history?taxnode_id=201850483","ICTVonline=201850483")</f>
        <v>ICTVonline=201850483</v>
      </c>
      <c r="AA2541" s="1">
        <v>201850000</v>
      </c>
      <c r="AB2541" s="1">
        <v>34</v>
      </c>
    </row>
    <row r="2542" spans="1:28" x14ac:dyDescent="0.15">
      <c r="A2542" s="1">
        <v>6451</v>
      </c>
      <c r="J2542" s="1" t="s">
        <v>1332</v>
      </c>
      <c r="L2542" s="1" t="s">
        <v>1333</v>
      </c>
      <c r="N2542" s="1" t="s">
        <v>2919</v>
      </c>
      <c r="P2542" s="1" t="s">
        <v>2929</v>
      </c>
      <c r="Q2542" s="3">
        <v>0</v>
      </c>
      <c r="S2542" s="23" t="s">
        <v>5949</v>
      </c>
      <c r="W2542" s="45" t="str">
        <f>HYPERLINK("http://ictvonline.org/taxonomy/p/taxonomy-history?taxnode_id=201850484","ICTVonline=201850484")</f>
        <v>ICTVonline=201850484</v>
      </c>
      <c r="AA2542" s="1">
        <v>201850000</v>
      </c>
      <c r="AB2542" s="1">
        <v>34</v>
      </c>
    </row>
    <row r="2543" spans="1:28" x14ac:dyDescent="0.15">
      <c r="A2543" s="1">
        <v>6453</v>
      </c>
      <c r="J2543" s="1" t="s">
        <v>1332</v>
      </c>
      <c r="L2543" s="1" t="s">
        <v>1333</v>
      </c>
      <c r="N2543" s="1" t="s">
        <v>2919</v>
      </c>
      <c r="P2543" s="1" t="s">
        <v>6347</v>
      </c>
      <c r="Q2543" s="3">
        <v>0</v>
      </c>
      <c r="S2543" s="23" t="s">
        <v>5949</v>
      </c>
      <c r="T2543" s="23" t="s">
        <v>4929</v>
      </c>
      <c r="U2543" s="3">
        <v>34</v>
      </c>
      <c r="V2543" s="3" t="s">
        <v>6181</v>
      </c>
      <c r="W2543" s="45" t="str">
        <f>HYPERLINK("http://ictvonline.org/taxonomy/p/taxonomy-history?taxnode_id=201857026","ICTVonline=201857026")</f>
        <v>ICTVonline=201857026</v>
      </c>
      <c r="AA2543" s="1">
        <v>201850000</v>
      </c>
      <c r="AB2543" s="1">
        <v>34</v>
      </c>
    </row>
    <row r="2544" spans="1:28" x14ac:dyDescent="0.15">
      <c r="A2544" s="1">
        <v>6455</v>
      </c>
      <c r="J2544" s="1" t="s">
        <v>1332</v>
      </c>
      <c r="L2544" s="1" t="s">
        <v>1333</v>
      </c>
      <c r="N2544" s="1" t="s">
        <v>2919</v>
      </c>
      <c r="P2544" s="1" t="s">
        <v>6348</v>
      </c>
      <c r="Q2544" s="3">
        <v>0</v>
      </c>
      <c r="S2544" s="23" t="s">
        <v>5949</v>
      </c>
      <c r="T2544" s="23" t="s">
        <v>4929</v>
      </c>
      <c r="U2544" s="3">
        <v>34</v>
      </c>
      <c r="V2544" s="3" t="s">
        <v>6181</v>
      </c>
      <c r="W2544" s="45" t="str">
        <f>HYPERLINK("http://ictvonline.org/taxonomy/p/taxonomy-history?taxnode_id=201857022","ICTVonline=201857022")</f>
        <v>ICTVonline=201857022</v>
      </c>
      <c r="AA2544" s="1">
        <v>201850000</v>
      </c>
      <c r="AB2544" s="1">
        <v>34</v>
      </c>
    </row>
    <row r="2545" spans="1:28" x14ac:dyDescent="0.15">
      <c r="A2545" s="1">
        <v>6457</v>
      </c>
      <c r="J2545" s="1" t="s">
        <v>1332</v>
      </c>
      <c r="L2545" s="1" t="s">
        <v>1333</v>
      </c>
      <c r="N2545" s="1" t="s">
        <v>2919</v>
      </c>
      <c r="P2545" s="1" t="s">
        <v>2930</v>
      </c>
      <c r="Q2545" s="3">
        <v>1</v>
      </c>
      <c r="S2545" s="23" t="s">
        <v>5949</v>
      </c>
      <c r="W2545" s="45" t="str">
        <f>HYPERLINK("http://ictvonline.org/taxonomy/p/taxonomy-history?taxnode_id=201850485","ICTVonline=201850485")</f>
        <v>ICTVonline=201850485</v>
      </c>
      <c r="AA2545" s="1">
        <v>201850000</v>
      </c>
      <c r="AB2545" s="1">
        <v>34</v>
      </c>
    </row>
    <row r="2546" spans="1:28" x14ac:dyDescent="0.15">
      <c r="A2546" s="1">
        <v>6459</v>
      </c>
      <c r="J2546" s="1" t="s">
        <v>1332</v>
      </c>
      <c r="L2546" s="1" t="s">
        <v>1333</v>
      </c>
      <c r="N2546" s="1" t="s">
        <v>2919</v>
      </c>
      <c r="P2546" s="1" t="s">
        <v>6349</v>
      </c>
      <c r="Q2546" s="3">
        <v>0</v>
      </c>
      <c r="S2546" s="23" t="s">
        <v>5949</v>
      </c>
      <c r="T2546" s="23" t="s">
        <v>4929</v>
      </c>
      <c r="U2546" s="3">
        <v>34</v>
      </c>
      <c r="V2546" s="3" t="s">
        <v>6181</v>
      </c>
      <c r="W2546" s="45" t="str">
        <f>HYPERLINK("http://ictvonline.org/taxonomy/p/taxonomy-history?taxnode_id=201857027","ICTVonline=201857027")</f>
        <v>ICTVonline=201857027</v>
      </c>
      <c r="AA2546" s="1">
        <v>201850000</v>
      </c>
      <c r="AB2546" s="1">
        <v>34</v>
      </c>
    </row>
    <row r="2547" spans="1:28" x14ac:dyDescent="0.15">
      <c r="A2547" s="1">
        <v>6461</v>
      </c>
      <c r="J2547" s="1" t="s">
        <v>1332</v>
      </c>
      <c r="L2547" s="1" t="s">
        <v>1333</v>
      </c>
      <c r="N2547" s="1" t="s">
        <v>2919</v>
      </c>
      <c r="P2547" s="1" t="s">
        <v>2931</v>
      </c>
      <c r="Q2547" s="3">
        <v>0</v>
      </c>
      <c r="S2547" s="23" t="s">
        <v>5949</v>
      </c>
      <c r="W2547" s="45" t="str">
        <f>HYPERLINK("http://ictvonline.org/taxonomy/p/taxonomy-history?taxnode_id=201850486","ICTVonline=201850486")</f>
        <v>ICTVonline=201850486</v>
      </c>
      <c r="AA2547" s="1">
        <v>201850000</v>
      </c>
      <c r="AB2547" s="1">
        <v>34</v>
      </c>
    </row>
    <row r="2548" spans="1:28" x14ac:dyDescent="0.15">
      <c r="A2548" s="1">
        <v>6465</v>
      </c>
      <c r="J2548" s="1" t="s">
        <v>1332</v>
      </c>
      <c r="L2548" s="1" t="s">
        <v>1333</v>
      </c>
      <c r="N2548" s="1" t="s">
        <v>6350</v>
      </c>
      <c r="P2548" s="1" t="s">
        <v>6351</v>
      </c>
      <c r="Q2548" s="3">
        <v>1</v>
      </c>
      <c r="S2548" s="23" t="s">
        <v>5949</v>
      </c>
      <c r="T2548" s="23" t="s">
        <v>4929</v>
      </c>
      <c r="U2548" s="3">
        <v>34</v>
      </c>
      <c r="V2548" s="3" t="s">
        <v>6352</v>
      </c>
      <c r="W2548" s="45" t="str">
        <f>HYPERLINK("http://ictvonline.org/taxonomy/p/taxonomy-history?taxnode_id=201856857","ICTVonline=201856857")</f>
        <v>ICTVonline=201856857</v>
      </c>
      <c r="AA2548" s="1">
        <v>201850000</v>
      </c>
      <c r="AB2548" s="1">
        <v>34</v>
      </c>
    </row>
    <row r="2549" spans="1:28" x14ac:dyDescent="0.15">
      <c r="A2549" s="1">
        <v>6469</v>
      </c>
      <c r="J2549" s="1" t="s">
        <v>1332</v>
      </c>
      <c r="L2549" s="1" t="s">
        <v>1333</v>
      </c>
      <c r="N2549" s="1" t="s">
        <v>2932</v>
      </c>
      <c r="P2549" s="1" t="s">
        <v>4252</v>
      </c>
      <c r="Q2549" s="3">
        <v>0</v>
      </c>
      <c r="S2549" s="23" t="s">
        <v>5949</v>
      </c>
      <c r="W2549" s="45" t="str">
        <f>HYPERLINK("http://ictvonline.org/taxonomy/p/taxonomy-history?taxnode_id=201850488","ICTVonline=201850488")</f>
        <v>ICTVonline=201850488</v>
      </c>
      <c r="AA2549" s="1">
        <v>201850000</v>
      </c>
      <c r="AB2549" s="1">
        <v>34</v>
      </c>
    </row>
    <row r="2550" spans="1:28" x14ac:dyDescent="0.15">
      <c r="A2550" s="1">
        <v>6471</v>
      </c>
      <c r="J2550" s="1" t="s">
        <v>1332</v>
      </c>
      <c r="L2550" s="1" t="s">
        <v>1333</v>
      </c>
      <c r="N2550" s="1" t="s">
        <v>2932</v>
      </c>
      <c r="P2550" s="1" t="s">
        <v>2934</v>
      </c>
      <c r="Q2550" s="3">
        <v>1</v>
      </c>
      <c r="S2550" s="23" t="s">
        <v>5949</v>
      </c>
      <c r="W2550" s="45" t="str">
        <f>HYPERLINK("http://ictvonline.org/taxonomy/p/taxonomy-history?taxnode_id=201850489","ICTVonline=201850489")</f>
        <v>ICTVonline=201850489</v>
      </c>
      <c r="AA2550" s="1">
        <v>201850000</v>
      </c>
      <c r="AB2550" s="1">
        <v>34</v>
      </c>
    </row>
    <row r="2551" spans="1:28" x14ac:dyDescent="0.15">
      <c r="A2551" s="1">
        <v>6473</v>
      </c>
      <c r="J2551" s="1" t="s">
        <v>1332</v>
      </c>
      <c r="L2551" s="1" t="s">
        <v>1333</v>
      </c>
      <c r="N2551" s="1" t="s">
        <v>2932</v>
      </c>
      <c r="P2551" s="1" t="s">
        <v>6353</v>
      </c>
      <c r="Q2551" s="3">
        <v>0</v>
      </c>
      <c r="S2551" s="23" t="s">
        <v>5949</v>
      </c>
      <c r="T2551" s="23" t="s">
        <v>4929</v>
      </c>
      <c r="U2551" s="3">
        <v>34</v>
      </c>
      <c r="V2551" s="3" t="s">
        <v>6181</v>
      </c>
      <c r="W2551" s="45" t="str">
        <f>HYPERLINK("http://ictvonline.org/taxonomy/p/taxonomy-history?taxnode_id=201857032","ICTVonline=201857032")</f>
        <v>ICTVonline=201857032</v>
      </c>
      <c r="AA2551" s="1">
        <v>201850000</v>
      </c>
      <c r="AB2551" s="1">
        <v>34</v>
      </c>
    </row>
    <row r="2552" spans="1:28" x14ac:dyDescent="0.15">
      <c r="A2552" s="1">
        <v>6477</v>
      </c>
      <c r="J2552" s="1" t="s">
        <v>1332</v>
      </c>
      <c r="L2552" s="1" t="s">
        <v>1333</v>
      </c>
      <c r="N2552" s="1" t="s">
        <v>6354</v>
      </c>
      <c r="P2552" s="1" t="s">
        <v>6355</v>
      </c>
      <c r="Q2552" s="3">
        <v>1</v>
      </c>
      <c r="S2552" s="23" t="s">
        <v>5949</v>
      </c>
      <c r="T2552" s="23" t="s">
        <v>4929</v>
      </c>
      <c r="U2552" s="3">
        <v>34</v>
      </c>
      <c r="V2552" s="3" t="s">
        <v>6356</v>
      </c>
      <c r="W2552" s="45" t="str">
        <f>HYPERLINK("http://ictvonline.org/taxonomy/p/taxonomy-history?taxnode_id=201856859","ICTVonline=201856859")</f>
        <v>ICTVonline=201856859</v>
      </c>
      <c r="AA2552" s="1">
        <v>201850000</v>
      </c>
      <c r="AB2552" s="1">
        <v>34</v>
      </c>
    </row>
    <row r="2553" spans="1:28" x14ac:dyDescent="0.15">
      <c r="A2553" s="1">
        <v>6481</v>
      </c>
      <c r="J2553" s="1" t="s">
        <v>1332</v>
      </c>
      <c r="L2553" s="1" t="s">
        <v>1333</v>
      </c>
      <c r="N2553" s="1" t="s">
        <v>6357</v>
      </c>
      <c r="P2553" s="1" t="s">
        <v>6358</v>
      </c>
      <c r="Q2553" s="3">
        <v>1</v>
      </c>
      <c r="S2553" s="23" t="s">
        <v>5949</v>
      </c>
      <c r="T2553" s="23" t="s">
        <v>4929</v>
      </c>
      <c r="U2553" s="3">
        <v>34</v>
      </c>
      <c r="V2553" s="3" t="s">
        <v>6359</v>
      </c>
      <c r="W2553" s="45" t="str">
        <f>HYPERLINK("http://ictvonline.org/taxonomy/p/taxonomy-history?taxnode_id=201856720","ICTVonline=201856720")</f>
        <v>ICTVonline=201856720</v>
      </c>
      <c r="AA2553" s="1">
        <v>201850000</v>
      </c>
      <c r="AB2553" s="1">
        <v>34</v>
      </c>
    </row>
    <row r="2554" spans="1:28" x14ac:dyDescent="0.15">
      <c r="A2554" s="1">
        <v>6485</v>
      </c>
      <c r="J2554" s="1" t="s">
        <v>1332</v>
      </c>
      <c r="L2554" s="1" t="s">
        <v>1333</v>
      </c>
      <c r="N2554" s="1" t="s">
        <v>6360</v>
      </c>
      <c r="P2554" s="1" t="s">
        <v>6361</v>
      </c>
      <c r="Q2554" s="3">
        <v>1</v>
      </c>
      <c r="S2554" s="23" t="s">
        <v>5949</v>
      </c>
      <c r="T2554" s="23" t="s">
        <v>4929</v>
      </c>
      <c r="U2554" s="3">
        <v>34</v>
      </c>
      <c r="V2554" s="3" t="s">
        <v>6362</v>
      </c>
      <c r="W2554" s="45" t="str">
        <f>HYPERLINK("http://ictvonline.org/taxonomy/p/taxonomy-history?taxnode_id=201856778","ICTVonline=201856778")</f>
        <v>ICTVonline=201856778</v>
      </c>
      <c r="AA2554" s="1">
        <v>201850000</v>
      </c>
      <c r="AB2554" s="1">
        <v>34</v>
      </c>
    </row>
    <row r="2555" spans="1:28" x14ac:dyDescent="0.15">
      <c r="A2555" s="1">
        <v>6489</v>
      </c>
      <c r="J2555" s="1" t="s">
        <v>1332</v>
      </c>
      <c r="L2555" s="1" t="s">
        <v>1333</v>
      </c>
      <c r="N2555" s="1" t="s">
        <v>6363</v>
      </c>
      <c r="P2555" s="1" t="s">
        <v>2910</v>
      </c>
      <c r="Q2555" s="3">
        <v>0</v>
      </c>
      <c r="S2555" s="23" t="s">
        <v>5949</v>
      </c>
      <c r="T2555" s="23" t="s">
        <v>4931</v>
      </c>
      <c r="U2555" s="3">
        <v>34</v>
      </c>
      <c r="W2555" s="45" t="str">
        <f>HYPERLINK("http://ictvonline.org/taxonomy/p/taxonomy-history?taxnode_id=201850465","ICTVonline=201850465")</f>
        <v>ICTVonline=201850465</v>
      </c>
      <c r="AA2555" s="1">
        <v>201850000</v>
      </c>
      <c r="AB2555" s="1">
        <v>34</v>
      </c>
    </row>
    <row r="2556" spans="1:28" x14ac:dyDescent="0.15">
      <c r="A2556" s="1">
        <v>6491</v>
      </c>
      <c r="J2556" s="1" t="s">
        <v>1332</v>
      </c>
      <c r="L2556" s="1" t="s">
        <v>1333</v>
      </c>
      <c r="N2556" s="1" t="s">
        <v>6363</v>
      </c>
      <c r="P2556" s="1" t="s">
        <v>2911</v>
      </c>
      <c r="Q2556" s="3">
        <v>1</v>
      </c>
      <c r="S2556" s="23" t="s">
        <v>5949</v>
      </c>
      <c r="T2556" s="23" t="s">
        <v>4931</v>
      </c>
      <c r="U2556" s="3">
        <v>34</v>
      </c>
      <c r="W2556" s="45" t="str">
        <f>HYPERLINK("http://ictvonline.org/taxonomy/p/taxonomy-history?taxnode_id=201850466","ICTVonline=201850466")</f>
        <v>ICTVonline=201850466</v>
      </c>
      <c r="AA2556" s="1">
        <v>201850000</v>
      </c>
      <c r="AB2556" s="1">
        <v>34</v>
      </c>
    </row>
    <row r="2557" spans="1:28" x14ac:dyDescent="0.15">
      <c r="A2557" s="1">
        <v>6493</v>
      </c>
      <c r="J2557" s="1" t="s">
        <v>1332</v>
      </c>
      <c r="L2557" s="1" t="s">
        <v>1333</v>
      </c>
      <c r="N2557" s="1" t="s">
        <v>6363</v>
      </c>
      <c r="P2557" s="1" t="s">
        <v>6364</v>
      </c>
      <c r="Q2557" s="3">
        <v>0</v>
      </c>
      <c r="S2557" s="23" t="s">
        <v>5949</v>
      </c>
      <c r="T2557" s="23" t="s">
        <v>4929</v>
      </c>
      <c r="U2557" s="3">
        <v>34</v>
      </c>
      <c r="V2557" s="3" t="s">
        <v>6181</v>
      </c>
      <c r="W2557" s="45" t="str">
        <f>HYPERLINK("http://ictvonline.org/taxonomy/p/taxonomy-history?taxnode_id=201857014","ICTVonline=201857014")</f>
        <v>ICTVonline=201857014</v>
      </c>
      <c r="AA2557" s="1">
        <v>201850000</v>
      </c>
      <c r="AB2557" s="1">
        <v>34</v>
      </c>
    </row>
    <row r="2558" spans="1:28" x14ac:dyDescent="0.15">
      <c r="A2558" s="1">
        <v>6495</v>
      </c>
      <c r="J2558" s="1" t="s">
        <v>1332</v>
      </c>
      <c r="L2558" s="1" t="s">
        <v>1333</v>
      </c>
      <c r="N2558" s="1" t="s">
        <v>6363</v>
      </c>
      <c r="P2558" s="1" t="s">
        <v>6365</v>
      </c>
      <c r="Q2558" s="3">
        <v>0</v>
      </c>
      <c r="S2558" s="23" t="s">
        <v>5949</v>
      </c>
      <c r="T2558" s="23" t="s">
        <v>4929</v>
      </c>
      <c r="U2558" s="3">
        <v>34</v>
      </c>
      <c r="V2558" s="3" t="s">
        <v>6181</v>
      </c>
      <c r="W2558" s="45" t="str">
        <f>HYPERLINK("http://ictvonline.org/taxonomy/p/taxonomy-history?taxnode_id=201857015","ICTVonline=201857015")</f>
        <v>ICTVonline=201857015</v>
      </c>
      <c r="AA2558" s="1">
        <v>201850000</v>
      </c>
      <c r="AB2558" s="1">
        <v>34</v>
      </c>
    </row>
    <row r="2559" spans="1:28" x14ac:dyDescent="0.15">
      <c r="A2559" s="1">
        <v>6499</v>
      </c>
      <c r="J2559" s="1" t="s">
        <v>1332</v>
      </c>
      <c r="L2559" s="1" t="s">
        <v>1333</v>
      </c>
      <c r="N2559" s="1" t="s">
        <v>6366</v>
      </c>
      <c r="P2559" s="1" t="s">
        <v>4227</v>
      </c>
      <c r="Q2559" s="3">
        <v>1</v>
      </c>
      <c r="S2559" s="23" t="s">
        <v>5949</v>
      </c>
      <c r="T2559" s="23" t="s">
        <v>4931</v>
      </c>
      <c r="U2559" s="3">
        <v>34</v>
      </c>
      <c r="W2559" s="45" t="str">
        <f>HYPERLINK("http://ictvonline.org/taxonomy/p/taxonomy-history?taxnode_id=201850382","ICTVonline=201850382")</f>
        <v>ICTVonline=201850382</v>
      </c>
      <c r="AA2559" s="1">
        <v>201850000</v>
      </c>
      <c r="AB2559" s="1">
        <v>34</v>
      </c>
    </row>
    <row r="2560" spans="1:28" x14ac:dyDescent="0.15">
      <c r="A2560" s="1">
        <v>6501</v>
      </c>
      <c r="J2560" s="1" t="s">
        <v>1332</v>
      </c>
      <c r="L2560" s="1" t="s">
        <v>1333</v>
      </c>
      <c r="N2560" s="1" t="s">
        <v>6366</v>
      </c>
      <c r="P2560" s="1" t="s">
        <v>6367</v>
      </c>
      <c r="Q2560" s="3">
        <v>0</v>
      </c>
      <c r="S2560" s="23" t="s">
        <v>5949</v>
      </c>
      <c r="T2560" s="23" t="s">
        <v>4929</v>
      </c>
      <c r="U2560" s="3">
        <v>34</v>
      </c>
      <c r="V2560" s="3" t="s">
        <v>6181</v>
      </c>
      <c r="W2560" s="45" t="str">
        <f>HYPERLINK("http://ictvonline.org/taxonomy/p/taxonomy-history?taxnode_id=201856996","ICTVonline=201856996")</f>
        <v>ICTVonline=201856996</v>
      </c>
      <c r="AA2560" s="1">
        <v>201850000</v>
      </c>
      <c r="AB2560" s="1">
        <v>34</v>
      </c>
    </row>
    <row r="2561" spans="1:28" x14ac:dyDescent="0.15">
      <c r="A2561" s="1">
        <v>6503</v>
      </c>
      <c r="J2561" s="1" t="s">
        <v>1332</v>
      </c>
      <c r="L2561" s="1" t="s">
        <v>1333</v>
      </c>
      <c r="N2561" s="1" t="s">
        <v>6366</v>
      </c>
      <c r="P2561" s="1" t="s">
        <v>4228</v>
      </c>
      <c r="Q2561" s="3">
        <v>0</v>
      </c>
      <c r="S2561" s="23" t="s">
        <v>5949</v>
      </c>
      <c r="T2561" s="23" t="s">
        <v>4931</v>
      </c>
      <c r="U2561" s="3">
        <v>34</v>
      </c>
      <c r="W2561" s="45" t="str">
        <f>HYPERLINK("http://ictvonline.org/taxonomy/p/taxonomy-history?taxnode_id=201850383","ICTVonline=201850383")</f>
        <v>ICTVonline=201850383</v>
      </c>
      <c r="AA2561" s="1">
        <v>201850000</v>
      </c>
      <c r="AB2561" s="1">
        <v>34</v>
      </c>
    </row>
    <row r="2562" spans="1:28" x14ac:dyDescent="0.15">
      <c r="A2562" s="1">
        <v>6507</v>
      </c>
      <c r="J2562" s="1" t="s">
        <v>1332</v>
      </c>
      <c r="L2562" s="1" t="s">
        <v>1333</v>
      </c>
      <c r="N2562" s="1" t="s">
        <v>6368</v>
      </c>
      <c r="P2562" s="1" t="s">
        <v>6369</v>
      </c>
      <c r="Q2562" s="3">
        <v>1</v>
      </c>
      <c r="S2562" s="23" t="s">
        <v>5949</v>
      </c>
      <c r="T2562" s="23" t="s">
        <v>4929</v>
      </c>
      <c r="U2562" s="3">
        <v>34</v>
      </c>
      <c r="V2562" s="3" t="s">
        <v>6370</v>
      </c>
      <c r="W2562" s="45" t="str">
        <f>HYPERLINK("http://ictvonline.org/taxonomy/p/taxonomy-history?taxnode_id=201856865","ICTVonline=201856865")</f>
        <v>ICTVonline=201856865</v>
      </c>
      <c r="AA2562" s="1">
        <v>201850000</v>
      </c>
      <c r="AB2562" s="1">
        <v>34</v>
      </c>
    </row>
    <row r="2563" spans="1:28" x14ac:dyDescent="0.15">
      <c r="A2563" s="1">
        <v>6511</v>
      </c>
      <c r="J2563" s="1" t="s">
        <v>1332</v>
      </c>
      <c r="L2563" s="1" t="s">
        <v>1333</v>
      </c>
      <c r="N2563" s="1" t="s">
        <v>6371</v>
      </c>
      <c r="P2563" s="1" t="s">
        <v>6372</v>
      </c>
      <c r="Q2563" s="3">
        <v>1</v>
      </c>
      <c r="S2563" s="23" t="s">
        <v>5949</v>
      </c>
      <c r="T2563" s="23" t="s">
        <v>4929</v>
      </c>
      <c r="U2563" s="3">
        <v>34</v>
      </c>
      <c r="V2563" s="3" t="s">
        <v>6373</v>
      </c>
      <c r="W2563" s="45" t="str">
        <f>HYPERLINK("http://ictvonline.org/taxonomy/p/taxonomy-history?taxnode_id=201856867","ICTVonline=201856867")</f>
        <v>ICTVonline=201856867</v>
      </c>
      <c r="AA2563" s="1">
        <v>201850000</v>
      </c>
      <c r="AB2563" s="1">
        <v>34</v>
      </c>
    </row>
    <row r="2564" spans="1:28" x14ac:dyDescent="0.15">
      <c r="A2564" s="1">
        <v>6515</v>
      </c>
      <c r="J2564" s="1" t="s">
        <v>1332</v>
      </c>
      <c r="L2564" s="1" t="s">
        <v>1333</v>
      </c>
      <c r="N2564" s="1" t="s">
        <v>6374</v>
      </c>
      <c r="P2564" s="1" t="s">
        <v>4258</v>
      </c>
      <c r="Q2564" s="3">
        <v>1</v>
      </c>
      <c r="S2564" s="23" t="s">
        <v>5949</v>
      </c>
      <c r="T2564" s="23" t="s">
        <v>4931</v>
      </c>
      <c r="U2564" s="3">
        <v>34</v>
      </c>
      <c r="W2564" s="45" t="str">
        <f>HYPERLINK("http://ictvonline.org/taxonomy/p/taxonomy-history?taxnode_id=201850508","ICTVonline=201850508")</f>
        <v>ICTVonline=201850508</v>
      </c>
      <c r="AA2564" s="1">
        <v>201850000</v>
      </c>
      <c r="AB2564" s="1">
        <v>34</v>
      </c>
    </row>
    <row r="2565" spans="1:28" x14ac:dyDescent="0.15">
      <c r="A2565" s="1">
        <v>6519</v>
      </c>
      <c r="J2565" s="1" t="s">
        <v>1332</v>
      </c>
      <c r="L2565" s="1" t="s">
        <v>1333</v>
      </c>
      <c r="N2565" s="1" t="s">
        <v>6375</v>
      </c>
      <c r="P2565" s="1" t="s">
        <v>4256</v>
      </c>
      <c r="Q2565" s="3">
        <v>0</v>
      </c>
      <c r="S2565" s="23" t="s">
        <v>5949</v>
      </c>
      <c r="T2565" s="23" t="s">
        <v>4931</v>
      </c>
      <c r="U2565" s="3">
        <v>34</v>
      </c>
      <c r="W2565" s="45" t="str">
        <f>HYPERLINK("http://ictvonline.org/taxonomy/p/taxonomy-history?taxnode_id=201850505","ICTVonline=201850505")</f>
        <v>ICTVonline=201850505</v>
      </c>
      <c r="AA2565" s="1">
        <v>201850000</v>
      </c>
      <c r="AB2565" s="1">
        <v>34</v>
      </c>
    </row>
    <row r="2566" spans="1:28" x14ac:dyDescent="0.15">
      <c r="A2566" s="1">
        <v>6521</v>
      </c>
      <c r="J2566" s="1" t="s">
        <v>1332</v>
      </c>
      <c r="L2566" s="1" t="s">
        <v>1333</v>
      </c>
      <c r="N2566" s="1" t="s">
        <v>6375</v>
      </c>
      <c r="P2566" s="1" t="s">
        <v>4257</v>
      </c>
      <c r="Q2566" s="3">
        <v>1</v>
      </c>
      <c r="S2566" s="23" t="s">
        <v>5949</v>
      </c>
      <c r="T2566" s="23" t="s">
        <v>4931</v>
      </c>
      <c r="U2566" s="3">
        <v>34</v>
      </c>
      <c r="W2566" s="45" t="str">
        <f>HYPERLINK("http://ictvonline.org/taxonomy/p/taxonomy-history?taxnode_id=201850506","ICTVonline=201850506")</f>
        <v>ICTVonline=201850506</v>
      </c>
      <c r="AA2566" s="1">
        <v>201850000</v>
      </c>
      <c r="AB2566" s="1">
        <v>34</v>
      </c>
    </row>
    <row r="2567" spans="1:28" x14ac:dyDescent="0.15">
      <c r="A2567" s="1">
        <v>6525</v>
      </c>
      <c r="J2567" s="1" t="s">
        <v>1332</v>
      </c>
      <c r="L2567" s="1" t="s">
        <v>1333</v>
      </c>
      <c r="N2567" s="1" t="s">
        <v>6376</v>
      </c>
      <c r="P2567" s="1" t="s">
        <v>6377</v>
      </c>
      <c r="Q2567" s="3">
        <v>1</v>
      </c>
      <c r="S2567" s="23" t="s">
        <v>5949</v>
      </c>
      <c r="T2567" s="23" t="s">
        <v>4929</v>
      </c>
      <c r="U2567" s="3">
        <v>34</v>
      </c>
      <c r="V2567" s="3" t="s">
        <v>6378</v>
      </c>
      <c r="W2567" s="45" t="str">
        <f>HYPERLINK("http://ictvonline.org/taxonomy/p/taxonomy-history?taxnode_id=201856989","ICTVonline=201856989")</f>
        <v>ICTVonline=201856989</v>
      </c>
      <c r="AA2567" s="1">
        <v>201850000</v>
      </c>
      <c r="AB2567" s="1">
        <v>34</v>
      </c>
    </row>
    <row r="2568" spans="1:28" x14ac:dyDescent="0.15">
      <c r="A2568" s="1">
        <v>6529</v>
      </c>
      <c r="J2568" s="1" t="s">
        <v>1332</v>
      </c>
      <c r="L2568" s="1" t="s">
        <v>1333</v>
      </c>
      <c r="N2568" s="1" t="s">
        <v>6379</v>
      </c>
      <c r="P2568" s="1" t="s">
        <v>2882</v>
      </c>
      <c r="Q2568" s="3">
        <v>1</v>
      </c>
      <c r="S2568" s="23" t="s">
        <v>5949</v>
      </c>
      <c r="T2568" s="23" t="s">
        <v>4931</v>
      </c>
      <c r="U2568" s="3">
        <v>34</v>
      </c>
      <c r="W2568" s="45" t="str">
        <f>HYPERLINK("http://ictvonline.org/taxonomy/p/taxonomy-history?taxnode_id=201850425","ICTVonline=201850425")</f>
        <v>ICTVonline=201850425</v>
      </c>
      <c r="AA2568" s="1">
        <v>201850000</v>
      </c>
      <c r="AB2568" s="1">
        <v>34</v>
      </c>
    </row>
    <row r="2569" spans="1:28" x14ac:dyDescent="0.15">
      <c r="A2569" s="1">
        <v>6531</v>
      </c>
      <c r="J2569" s="1" t="s">
        <v>1332</v>
      </c>
      <c r="L2569" s="1" t="s">
        <v>1333</v>
      </c>
      <c r="N2569" s="1" t="s">
        <v>6379</v>
      </c>
      <c r="P2569" s="1" t="s">
        <v>2883</v>
      </c>
      <c r="Q2569" s="3">
        <v>0</v>
      </c>
      <c r="S2569" s="23" t="s">
        <v>5949</v>
      </c>
      <c r="T2569" s="23" t="s">
        <v>4931</v>
      </c>
      <c r="U2569" s="3">
        <v>34</v>
      </c>
      <c r="W2569" s="45" t="str">
        <f>HYPERLINK("http://ictvonline.org/taxonomy/p/taxonomy-history?taxnode_id=201850426","ICTVonline=201850426")</f>
        <v>ICTVonline=201850426</v>
      </c>
      <c r="AA2569" s="1">
        <v>201850000</v>
      </c>
      <c r="AB2569" s="1">
        <v>34</v>
      </c>
    </row>
    <row r="2570" spans="1:28" x14ac:dyDescent="0.15">
      <c r="A2570" s="1">
        <v>6533</v>
      </c>
      <c r="J2570" s="1" t="s">
        <v>1332</v>
      </c>
      <c r="L2570" s="1" t="s">
        <v>1333</v>
      </c>
      <c r="N2570" s="1" t="s">
        <v>6379</v>
      </c>
      <c r="P2570" s="1" t="s">
        <v>2884</v>
      </c>
      <c r="Q2570" s="3">
        <v>0</v>
      </c>
      <c r="S2570" s="23" t="s">
        <v>5949</v>
      </c>
      <c r="T2570" s="23" t="s">
        <v>4931</v>
      </c>
      <c r="U2570" s="3">
        <v>34</v>
      </c>
      <c r="W2570" s="45" t="str">
        <f>HYPERLINK("http://ictvonline.org/taxonomy/p/taxonomy-history?taxnode_id=201850427","ICTVonline=201850427")</f>
        <v>ICTVonline=201850427</v>
      </c>
      <c r="AA2570" s="1">
        <v>201850000</v>
      </c>
      <c r="AB2570" s="1">
        <v>34</v>
      </c>
    </row>
    <row r="2571" spans="1:28" x14ac:dyDescent="0.15">
      <c r="A2571" s="1">
        <v>6537</v>
      </c>
      <c r="J2571" s="1" t="s">
        <v>1332</v>
      </c>
      <c r="L2571" s="1" t="s">
        <v>1333</v>
      </c>
      <c r="N2571" s="1" t="s">
        <v>5019</v>
      </c>
      <c r="P2571" s="1" t="s">
        <v>5020</v>
      </c>
      <c r="Q2571" s="3">
        <v>0</v>
      </c>
      <c r="S2571" s="23" t="s">
        <v>5949</v>
      </c>
      <c r="W2571" s="45" t="str">
        <f>HYPERLINK("http://ictvonline.org/taxonomy/p/taxonomy-history?taxnode_id=201855485","ICTVonline=201855485")</f>
        <v>ICTVonline=201855485</v>
      </c>
      <c r="AA2571" s="1">
        <v>201850000</v>
      </c>
      <c r="AB2571" s="1">
        <v>34</v>
      </c>
    </row>
    <row r="2572" spans="1:28" x14ac:dyDescent="0.15">
      <c r="A2572" s="1">
        <v>6539</v>
      </c>
      <c r="J2572" s="1" t="s">
        <v>1332</v>
      </c>
      <c r="L2572" s="1" t="s">
        <v>1333</v>
      </c>
      <c r="N2572" s="1" t="s">
        <v>5019</v>
      </c>
      <c r="P2572" s="1" t="s">
        <v>5021</v>
      </c>
      <c r="Q2572" s="3">
        <v>1</v>
      </c>
      <c r="S2572" s="23" t="s">
        <v>5949</v>
      </c>
      <c r="W2572" s="45" t="str">
        <f>HYPERLINK("http://ictvonline.org/taxonomy/p/taxonomy-history?taxnode_id=201855486","ICTVonline=201855486")</f>
        <v>ICTVonline=201855486</v>
      </c>
      <c r="AA2572" s="1">
        <v>201850000</v>
      </c>
      <c r="AB2572" s="1">
        <v>34</v>
      </c>
    </row>
    <row r="2573" spans="1:28" x14ac:dyDescent="0.15">
      <c r="A2573" s="1">
        <v>6543</v>
      </c>
      <c r="J2573" s="1" t="s">
        <v>1332</v>
      </c>
      <c r="L2573" s="1" t="s">
        <v>1333</v>
      </c>
      <c r="N2573" s="1" t="s">
        <v>6380</v>
      </c>
      <c r="P2573" s="1" t="s">
        <v>2941</v>
      </c>
      <c r="Q2573" s="3">
        <v>0</v>
      </c>
      <c r="S2573" s="23" t="s">
        <v>5949</v>
      </c>
      <c r="T2573" s="23" t="s">
        <v>4931</v>
      </c>
      <c r="U2573" s="3">
        <v>34</v>
      </c>
      <c r="W2573" s="45" t="str">
        <f>HYPERLINK("http://ictvonline.org/taxonomy/p/taxonomy-history?taxnode_id=201850510","ICTVonline=201850510")</f>
        <v>ICTVonline=201850510</v>
      </c>
      <c r="AA2573" s="1">
        <v>201850000</v>
      </c>
      <c r="AB2573" s="1">
        <v>34</v>
      </c>
    </row>
    <row r="2574" spans="1:28" x14ac:dyDescent="0.15">
      <c r="A2574" s="1">
        <v>6545</v>
      </c>
      <c r="J2574" s="1" t="s">
        <v>1332</v>
      </c>
      <c r="L2574" s="1" t="s">
        <v>1333</v>
      </c>
      <c r="N2574" s="1" t="s">
        <v>6380</v>
      </c>
      <c r="P2574" s="1" t="s">
        <v>2942</v>
      </c>
      <c r="Q2574" s="3">
        <v>1</v>
      </c>
      <c r="S2574" s="23" t="s">
        <v>5949</v>
      </c>
      <c r="T2574" s="23" t="s">
        <v>4931</v>
      </c>
      <c r="U2574" s="3">
        <v>34</v>
      </c>
      <c r="W2574" s="45" t="str">
        <f>HYPERLINK("http://ictvonline.org/taxonomy/p/taxonomy-history?taxnode_id=201850511","ICTVonline=201850511")</f>
        <v>ICTVonline=201850511</v>
      </c>
      <c r="AA2574" s="1">
        <v>201850000</v>
      </c>
      <c r="AB2574" s="1">
        <v>34</v>
      </c>
    </row>
    <row r="2575" spans="1:28" x14ac:dyDescent="0.15">
      <c r="A2575" s="1">
        <v>6549</v>
      </c>
      <c r="J2575" s="1" t="s">
        <v>1332</v>
      </c>
      <c r="L2575" s="1" t="s">
        <v>1333</v>
      </c>
      <c r="N2575" s="1" t="s">
        <v>6381</v>
      </c>
      <c r="P2575" s="1" t="s">
        <v>6382</v>
      </c>
      <c r="Q2575" s="3">
        <v>0</v>
      </c>
      <c r="S2575" s="23" t="s">
        <v>5949</v>
      </c>
      <c r="T2575" s="23" t="s">
        <v>4929</v>
      </c>
      <c r="U2575" s="3">
        <v>34</v>
      </c>
      <c r="V2575" s="3" t="s">
        <v>6383</v>
      </c>
      <c r="W2575" s="45" t="str">
        <f>HYPERLINK("http://ictvonline.org/taxonomy/p/taxonomy-history?taxnode_id=201856890","ICTVonline=201856890")</f>
        <v>ICTVonline=201856890</v>
      </c>
      <c r="AA2575" s="1">
        <v>201850000</v>
      </c>
      <c r="AB2575" s="1">
        <v>34</v>
      </c>
    </row>
    <row r="2576" spans="1:28" x14ac:dyDescent="0.15">
      <c r="A2576" s="1">
        <v>6553</v>
      </c>
      <c r="J2576" s="1" t="s">
        <v>1332</v>
      </c>
      <c r="L2576" s="1" t="s">
        <v>1333</v>
      </c>
      <c r="N2576" s="1" t="s">
        <v>6384</v>
      </c>
      <c r="P2576" s="1" t="s">
        <v>6385</v>
      </c>
      <c r="Q2576" s="3">
        <v>1</v>
      </c>
      <c r="S2576" s="23" t="s">
        <v>5949</v>
      </c>
      <c r="T2576" s="23" t="s">
        <v>4929</v>
      </c>
      <c r="U2576" s="3">
        <v>34</v>
      </c>
      <c r="V2576" s="3" t="s">
        <v>6386</v>
      </c>
      <c r="W2576" s="45" t="str">
        <f>HYPERLINK("http://ictvonline.org/taxonomy/p/taxonomy-history?taxnode_id=201856892","ICTVonline=201856892")</f>
        <v>ICTVonline=201856892</v>
      </c>
      <c r="AA2576" s="1">
        <v>201850000</v>
      </c>
      <c r="AB2576" s="1">
        <v>34</v>
      </c>
    </row>
    <row r="2577" spans="1:28" x14ac:dyDescent="0.15">
      <c r="A2577" s="1">
        <v>6555</v>
      </c>
      <c r="J2577" s="1" t="s">
        <v>1332</v>
      </c>
      <c r="L2577" s="1" t="s">
        <v>1333</v>
      </c>
      <c r="N2577" s="1" t="s">
        <v>6384</v>
      </c>
      <c r="P2577" s="1" t="s">
        <v>6387</v>
      </c>
      <c r="Q2577" s="3">
        <v>0</v>
      </c>
      <c r="S2577" s="23" t="s">
        <v>5949</v>
      </c>
      <c r="T2577" s="23" t="s">
        <v>4929</v>
      </c>
      <c r="U2577" s="3">
        <v>34</v>
      </c>
      <c r="V2577" s="3" t="s">
        <v>6386</v>
      </c>
      <c r="W2577" s="45" t="str">
        <f>HYPERLINK("http://ictvonline.org/taxonomy/p/taxonomy-history?taxnode_id=201856893","ICTVonline=201856893")</f>
        <v>ICTVonline=201856893</v>
      </c>
      <c r="AA2577" s="1">
        <v>201850000</v>
      </c>
      <c r="AB2577" s="1">
        <v>34</v>
      </c>
    </row>
    <row r="2578" spans="1:28" x14ac:dyDescent="0.15">
      <c r="A2578" s="1">
        <v>6559</v>
      </c>
      <c r="J2578" s="1" t="s">
        <v>1332</v>
      </c>
      <c r="L2578" s="1" t="s">
        <v>1333</v>
      </c>
      <c r="N2578" s="1" t="s">
        <v>6388</v>
      </c>
      <c r="P2578" s="1" t="s">
        <v>6389</v>
      </c>
      <c r="Q2578" s="3">
        <v>1</v>
      </c>
      <c r="S2578" s="23" t="s">
        <v>5949</v>
      </c>
      <c r="T2578" s="23" t="s">
        <v>4929</v>
      </c>
      <c r="U2578" s="3">
        <v>34</v>
      </c>
      <c r="V2578" s="3" t="s">
        <v>6390</v>
      </c>
      <c r="W2578" s="45" t="str">
        <f>HYPERLINK("http://ictvonline.org/taxonomy/p/taxonomy-history?taxnode_id=201856787","ICTVonline=201856787")</f>
        <v>ICTVonline=201856787</v>
      </c>
      <c r="AA2578" s="1">
        <v>201850000</v>
      </c>
      <c r="AB2578" s="1">
        <v>34</v>
      </c>
    </row>
    <row r="2579" spans="1:28" x14ac:dyDescent="0.15">
      <c r="A2579" s="1">
        <v>6563</v>
      </c>
      <c r="J2579" s="1" t="s">
        <v>1332</v>
      </c>
      <c r="L2579" s="1" t="s">
        <v>1333</v>
      </c>
      <c r="N2579" s="1" t="s">
        <v>6391</v>
      </c>
      <c r="P2579" s="1" t="s">
        <v>2936</v>
      </c>
      <c r="Q2579" s="3">
        <v>1</v>
      </c>
      <c r="S2579" s="23" t="s">
        <v>5949</v>
      </c>
      <c r="T2579" s="23" t="s">
        <v>4931</v>
      </c>
      <c r="U2579" s="3">
        <v>34</v>
      </c>
      <c r="W2579" s="45" t="str">
        <f>HYPERLINK("http://ictvonline.org/taxonomy/p/taxonomy-history?taxnode_id=201850498","ICTVonline=201850498")</f>
        <v>ICTVonline=201850498</v>
      </c>
      <c r="AA2579" s="1">
        <v>201850000</v>
      </c>
      <c r="AB2579" s="1">
        <v>34</v>
      </c>
    </row>
    <row r="2580" spans="1:28" x14ac:dyDescent="0.15">
      <c r="A2580" s="1">
        <v>6565</v>
      </c>
      <c r="J2580" s="1" t="s">
        <v>1332</v>
      </c>
      <c r="L2580" s="1" t="s">
        <v>1333</v>
      </c>
      <c r="N2580" s="1" t="s">
        <v>6391</v>
      </c>
      <c r="P2580" s="1" t="s">
        <v>2937</v>
      </c>
      <c r="Q2580" s="3">
        <v>0</v>
      </c>
      <c r="S2580" s="23" t="s">
        <v>5949</v>
      </c>
      <c r="T2580" s="23" t="s">
        <v>4931</v>
      </c>
      <c r="U2580" s="3">
        <v>34</v>
      </c>
      <c r="W2580" s="45" t="str">
        <f>HYPERLINK("http://ictvonline.org/taxonomy/p/taxonomy-history?taxnode_id=201850500","ICTVonline=201850500")</f>
        <v>ICTVonline=201850500</v>
      </c>
      <c r="AA2580" s="1">
        <v>201850000</v>
      </c>
      <c r="AB2580" s="1">
        <v>34</v>
      </c>
    </row>
    <row r="2581" spans="1:28" x14ac:dyDescent="0.15">
      <c r="A2581" s="1">
        <v>6567</v>
      </c>
      <c r="J2581" s="1" t="s">
        <v>1332</v>
      </c>
      <c r="L2581" s="1" t="s">
        <v>1333</v>
      </c>
      <c r="N2581" s="1" t="s">
        <v>6391</v>
      </c>
      <c r="P2581" s="1" t="s">
        <v>2938</v>
      </c>
      <c r="Q2581" s="3">
        <v>0</v>
      </c>
      <c r="S2581" s="23" t="s">
        <v>5949</v>
      </c>
      <c r="T2581" s="23" t="s">
        <v>4931</v>
      </c>
      <c r="U2581" s="3">
        <v>34</v>
      </c>
      <c r="W2581" s="45" t="str">
        <f>HYPERLINK("http://ictvonline.org/taxonomy/p/taxonomy-history?taxnode_id=201850501","ICTVonline=201850501")</f>
        <v>ICTVonline=201850501</v>
      </c>
      <c r="AA2581" s="1">
        <v>201850000</v>
      </c>
      <c r="AB2581" s="1">
        <v>34</v>
      </c>
    </row>
    <row r="2582" spans="1:28" x14ac:dyDescent="0.15">
      <c r="A2582" s="1">
        <v>6569</v>
      </c>
      <c r="J2582" s="1" t="s">
        <v>1332</v>
      </c>
      <c r="L2582" s="1" t="s">
        <v>1333</v>
      </c>
      <c r="N2582" s="1" t="s">
        <v>6391</v>
      </c>
      <c r="P2582" s="1" t="s">
        <v>2939</v>
      </c>
      <c r="Q2582" s="3">
        <v>0</v>
      </c>
      <c r="S2582" s="23" t="s">
        <v>5949</v>
      </c>
      <c r="T2582" s="23" t="s">
        <v>4931</v>
      </c>
      <c r="U2582" s="3">
        <v>34</v>
      </c>
      <c r="W2582" s="45" t="str">
        <f>HYPERLINK("http://ictvonline.org/taxonomy/p/taxonomy-history?taxnode_id=201850502","ICTVonline=201850502")</f>
        <v>ICTVonline=201850502</v>
      </c>
      <c r="AA2582" s="1">
        <v>201850000</v>
      </c>
      <c r="AB2582" s="1">
        <v>34</v>
      </c>
    </row>
    <row r="2583" spans="1:28" x14ac:dyDescent="0.15">
      <c r="A2583" s="1">
        <v>6571</v>
      </c>
      <c r="J2583" s="1" t="s">
        <v>1332</v>
      </c>
      <c r="L2583" s="1" t="s">
        <v>1333</v>
      </c>
      <c r="N2583" s="1" t="s">
        <v>6391</v>
      </c>
      <c r="P2583" s="1" t="s">
        <v>6392</v>
      </c>
      <c r="Q2583" s="3">
        <v>0</v>
      </c>
      <c r="S2583" s="23" t="s">
        <v>5949</v>
      </c>
      <c r="T2583" s="23" t="s">
        <v>4929</v>
      </c>
      <c r="U2583" s="3">
        <v>34</v>
      </c>
      <c r="V2583" s="3" t="s">
        <v>6181</v>
      </c>
      <c r="W2583" s="45" t="str">
        <f>HYPERLINK("http://ictvonline.org/taxonomy/p/taxonomy-history?taxnode_id=201857033","ICTVonline=201857033")</f>
        <v>ICTVonline=201857033</v>
      </c>
      <c r="AA2583" s="1">
        <v>201850000</v>
      </c>
      <c r="AB2583" s="1">
        <v>34</v>
      </c>
    </row>
    <row r="2584" spans="1:28" x14ac:dyDescent="0.15">
      <c r="A2584" s="1">
        <v>6573</v>
      </c>
      <c r="J2584" s="1" t="s">
        <v>1332</v>
      </c>
      <c r="L2584" s="1" t="s">
        <v>1333</v>
      </c>
      <c r="N2584" s="1" t="s">
        <v>6391</v>
      </c>
      <c r="P2584" s="1" t="s">
        <v>2940</v>
      </c>
      <c r="Q2584" s="3">
        <v>0</v>
      </c>
      <c r="S2584" s="23" t="s">
        <v>5949</v>
      </c>
      <c r="T2584" s="23" t="s">
        <v>4931</v>
      </c>
      <c r="U2584" s="3">
        <v>34</v>
      </c>
      <c r="W2584" s="45" t="str">
        <f>HYPERLINK("http://ictvonline.org/taxonomy/p/taxonomy-history?taxnode_id=201850503","ICTVonline=201850503")</f>
        <v>ICTVonline=201850503</v>
      </c>
      <c r="AA2584" s="1">
        <v>201850000</v>
      </c>
      <c r="AB2584" s="1">
        <v>34</v>
      </c>
    </row>
    <row r="2585" spans="1:28" x14ac:dyDescent="0.15">
      <c r="A2585" s="1">
        <v>6577</v>
      </c>
      <c r="J2585" s="1" t="s">
        <v>1332</v>
      </c>
      <c r="L2585" s="1" t="s">
        <v>1333</v>
      </c>
      <c r="N2585" s="1" t="s">
        <v>2946</v>
      </c>
      <c r="P2585" s="1" t="s">
        <v>2947</v>
      </c>
      <c r="Q2585" s="3">
        <v>0</v>
      </c>
      <c r="S2585" s="23" t="s">
        <v>5949</v>
      </c>
      <c r="W2585" s="45" t="str">
        <f>HYPERLINK("http://ictvonline.org/taxonomy/p/taxonomy-history?taxnode_id=201850517","ICTVonline=201850517")</f>
        <v>ICTVonline=201850517</v>
      </c>
      <c r="AA2585" s="1">
        <v>201850000</v>
      </c>
      <c r="AB2585" s="1">
        <v>34</v>
      </c>
    </row>
    <row r="2586" spans="1:28" x14ac:dyDescent="0.15">
      <c r="A2586" s="1">
        <v>6579</v>
      </c>
      <c r="J2586" s="1" t="s">
        <v>1332</v>
      </c>
      <c r="L2586" s="1" t="s">
        <v>1333</v>
      </c>
      <c r="N2586" s="1" t="s">
        <v>2946</v>
      </c>
      <c r="P2586" s="1" t="s">
        <v>2948</v>
      </c>
      <c r="Q2586" s="3">
        <v>1</v>
      </c>
      <c r="S2586" s="23" t="s">
        <v>5949</v>
      </c>
      <c r="W2586" s="45" t="str">
        <f>HYPERLINK("http://ictvonline.org/taxonomy/p/taxonomy-history?taxnode_id=201850518","ICTVonline=201850518")</f>
        <v>ICTVonline=201850518</v>
      </c>
      <c r="AA2586" s="1">
        <v>201850000</v>
      </c>
      <c r="AB2586" s="1">
        <v>34</v>
      </c>
    </row>
    <row r="2587" spans="1:28" x14ac:dyDescent="0.15">
      <c r="A2587" s="1">
        <v>6581</v>
      </c>
      <c r="J2587" s="1" t="s">
        <v>1332</v>
      </c>
      <c r="L2587" s="1" t="s">
        <v>1333</v>
      </c>
      <c r="N2587" s="1" t="s">
        <v>2946</v>
      </c>
      <c r="P2587" s="1" t="s">
        <v>2949</v>
      </c>
      <c r="Q2587" s="3">
        <v>0</v>
      </c>
      <c r="S2587" s="23" t="s">
        <v>5949</v>
      </c>
      <c r="W2587" s="45" t="str">
        <f>HYPERLINK("http://ictvonline.org/taxonomy/p/taxonomy-history?taxnode_id=201850519","ICTVonline=201850519")</f>
        <v>ICTVonline=201850519</v>
      </c>
      <c r="AA2587" s="1">
        <v>201850000</v>
      </c>
      <c r="AB2587" s="1">
        <v>34</v>
      </c>
    </row>
    <row r="2588" spans="1:28" x14ac:dyDescent="0.15">
      <c r="A2588" s="1">
        <v>6585</v>
      </c>
      <c r="J2588" s="1" t="s">
        <v>1332</v>
      </c>
      <c r="L2588" s="1" t="s">
        <v>1333</v>
      </c>
      <c r="N2588" s="1" t="s">
        <v>6393</v>
      </c>
      <c r="P2588" s="1" t="s">
        <v>2868</v>
      </c>
      <c r="Q2588" s="3">
        <v>0</v>
      </c>
      <c r="S2588" s="23" t="s">
        <v>5949</v>
      </c>
      <c r="T2588" s="23" t="s">
        <v>4931</v>
      </c>
      <c r="U2588" s="3">
        <v>34</v>
      </c>
      <c r="W2588" s="45" t="str">
        <f>HYPERLINK("http://ictvonline.org/taxonomy/p/taxonomy-history?taxnode_id=201850402","ICTVonline=201850402")</f>
        <v>ICTVonline=201850402</v>
      </c>
      <c r="AA2588" s="1">
        <v>201850000</v>
      </c>
      <c r="AB2588" s="1">
        <v>34</v>
      </c>
    </row>
    <row r="2589" spans="1:28" x14ac:dyDescent="0.15">
      <c r="A2589" s="1">
        <v>6587</v>
      </c>
      <c r="J2589" s="1" t="s">
        <v>1332</v>
      </c>
      <c r="L2589" s="1" t="s">
        <v>1333</v>
      </c>
      <c r="N2589" s="1" t="s">
        <v>6393</v>
      </c>
      <c r="P2589" s="1" t="s">
        <v>2869</v>
      </c>
      <c r="Q2589" s="3">
        <v>0</v>
      </c>
      <c r="S2589" s="23" t="s">
        <v>5949</v>
      </c>
      <c r="T2589" s="23" t="s">
        <v>4931</v>
      </c>
      <c r="U2589" s="3">
        <v>34</v>
      </c>
      <c r="W2589" s="45" t="str">
        <f>HYPERLINK("http://ictvonline.org/taxonomy/p/taxonomy-history?taxnode_id=201850403","ICTVonline=201850403")</f>
        <v>ICTVonline=201850403</v>
      </c>
      <c r="AA2589" s="1">
        <v>201850000</v>
      </c>
      <c r="AB2589" s="1">
        <v>34</v>
      </c>
    </row>
    <row r="2590" spans="1:28" x14ac:dyDescent="0.15">
      <c r="A2590" s="1">
        <v>6589</v>
      </c>
      <c r="J2590" s="1" t="s">
        <v>1332</v>
      </c>
      <c r="L2590" s="1" t="s">
        <v>1333</v>
      </c>
      <c r="N2590" s="1" t="s">
        <v>6393</v>
      </c>
      <c r="P2590" s="1" t="s">
        <v>2870</v>
      </c>
      <c r="Q2590" s="3">
        <v>1</v>
      </c>
      <c r="S2590" s="23" t="s">
        <v>5949</v>
      </c>
      <c r="T2590" s="23" t="s">
        <v>4931</v>
      </c>
      <c r="U2590" s="3">
        <v>34</v>
      </c>
      <c r="W2590" s="45" t="str">
        <f>HYPERLINK("http://ictvonline.org/taxonomy/p/taxonomy-history?taxnode_id=201850404","ICTVonline=201850404")</f>
        <v>ICTVonline=201850404</v>
      </c>
      <c r="AA2590" s="1">
        <v>201850000</v>
      </c>
      <c r="AB2590" s="1">
        <v>34</v>
      </c>
    </row>
    <row r="2591" spans="1:28" x14ac:dyDescent="0.15">
      <c r="A2591" s="1">
        <v>6591</v>
      </c>
      <c r="J2591" s="1" t="s">
        <v>1332</v>
      </c>
      <c r="L2591" s="1" t="s">
        <v>1333</v>
      </c>
      <c r="N2591" s="1" t="s">
        <v>6393</v>
      </c>
      <c r="P2591" s="1" t="s">
        <v>2871</v>
      </c>
      <c r="Q2591" s="3">
        <v>0</v>
      </c>
      <c r="S2591" s="23" t="s">
        <v>5949</v>
      </c>
      <c r="T2591" s="23" t="s">
        <v>4931</v>
      </c>
      <c r="U2591" s="3">
        <v>34</v>
      </c>
      <c r="W2591" s="45" t="str">
        <f>HYPERLINK("http://ictvonline.org/taxonomy/p/taxonomy-history?taxnode_id=201850405","ICTVonline=201850405")</f>
        <v>ICTVonline=201850405</v>
      </c>
      <c r="AA2591" s="1">
        <v>201850000</v>
      </c>
      <c r="AB2591" s="1">
        <v>34</v>
      </c>
    </row>
    <row r="2592" spans="1:28" x14ac:dyDescent="0.15">
      <c r="A2592" s="1">
        <v>6593</v>
      </c>
      <c r="J2592" s="1" t="s">
        <v>1332</v>
      </c>
      <c r="L2592" s="1" t="s">
        <v>1333</v>
      </c>
      <c r="N2592" s="1" t="s">
        <v>6393</v>
      </c>
      <c r="P2592" s="1" t="s">
        <v>2872</v>
      </c>
      <c r="Q2592" s="3">
        <v>0</v>
      </c>
      <c r="S2592" s="23" t="s">
        <v>5949</v>
      </c>
      <c r="T2592" s="23" t="s">
        <v>4931</v>
      </c>
      <c r="U2592" s="3">
        <v>34</v>
      </c>
      <c r="W2592" s="45" t="str">
        <f>HYPERLINK("http://ictvonline.org/taxonomy/p/taxonomy-history?taxnode_id=201850406","ICTVonline=201850406")</f>
        <v>ICTVonline=201850406</v>
      </c>
      <c r="AA2592" s="1">
        <v>201850000</v>
      </c>
      <c r="AB2592" s="1">
        <v>34</v>
      </c>
    </row>
    <row r="2593" spans="1:28" x14ac:dyDescent="0.15">
      <c r="A2593" s="1">
        <v>6597</v>
      </c>
      <c r="J2593" s="1" t="s">
        <v>1332</v>
      </c>
      <c r="L2593" s="1" t="s">
        <v>1333</v>
      </c>
      <c r="N2593" s="1" t="s">
        <v>6394</v>
      </c>
      <c r="P2593" s="1" t="s">
        <v>2952</v>
      </c>
      <c r="Q2593" s="3">
        <v>0</v>
      </c>
      <c r="S2593" s="23" t="s">
        <v>5949</v>
      </c>
      <c r="T2593" s="23" t="s">
        <v>4931</v>
      </c>
      <c r="U2593" s="3">
        <v>34</v>
      </c>
      <c r="W2593" s="45" t="str">
        <f>HYPERLINK("http://ictvonline.org/taxonomy/p/taxonomy-history?taxnode_id=201850523","ICTVonline=201850523")</f>
        <v>ICTVonline=201850523</v>
      </c>
      <c r="AA2593" s="1">
        <v>201850000</v>
      </c>
      <c r="AB2593" s="1">
        <v>34</v>
      </c>
    </row>
    <row r="2594" spans="1:28" x14ac:dyDescent="0.15">
      <c r="A2594" s="1">
        <v>6599</v>
      </c>
      <c r="J2594" s="1" t="s">
        <v>1332</v>
      </c>
      <c r="L2594" s="1" t="s">
        <v>1333</v>
      </c>
      <c r="N2594" s="1" t="s">
        <v>6394</v>
      </c>
      <c r="P2594" s="1" t="s">
        <v>2955</v>
      </c>
      <c r="Q2594" s="3">
        <v>0</v>
      </c>
      <c r="S2594" s="23" t="s">
        <v>5949</v>
      </c>
      <c r="T2594" s="23" t="s">
        <v>4931</v>
      </c>
      <c r="U2594" s="3">
        <v>34</v>
      </c>
      <c r="W2594" s="45" t="str">
        <f>HYPERLINK("http://ictvonline.org/taxonomy/p/taxonomy-history?taxnode_id=201850526","ICTVonline=201850526")</f>
        <v>ICTVonline=201850526</v>
      </c>
      <c r="AA2594" s="1">
        <v>201850000</v>
      </c>
      <c r="AB2594" s="1">
        <v>34</v>
      </c>
    </row>
    <row r="2595" spans="1:28" x14ac:dyDescent="0.15">
      <c r="A2595" s="1">
        <v>6601</v>
      </c>
      <c r="J2595" s="1" t="s">
        <v>1332</v>
      </c>
      <c r="L2595" s="1" t="s">
        <v>1333</v>
      </c>
      <c r="N2595" s="1" t="s">
        <v>6394</v>
      </c>
      <c r="P2595" s="1" t="s">
        <v>2956</v>
      </c>
      <c r="Q2595" s="3">
        <v>0</v>
      </c>
      <c r="S2595" s="23" t="s">
        <v>5949</v>
      </c>
      <c r="T2595" s="23" t="s">
        <v>4931</v>
      </c>
      <c r="U2595" s="3">
        <v>34</v>
      </c>
      <c r="W2595" s="45" t="str">
        <f>HYPERLINK("http://ictvonline.org/taxonomy/p/taxonomy-history?taxnode_id=201850527","ICTVonline=201850527")</f>
        <v>ICTVonline=201850527</v>
      </c>
      <c r="AA2595" s="1">
        <v>201850000</v>
      </c>
      <c r="AB2595" s="1">
        <v>34</v>
      </c>
    </row>
    <row r="2596" spans="1:28" x14ac:dyDescent="0.15">
      <c r="A2596" s="1">
        <v>6603</v>
      </c>
      <c r="J2596" s="1" t="s">
        <v>1332</v>
      </c>
      <c r="L2596" s="1" t="s">
        <v>1333</v>
      </c>
      <c r="N2596" s="1" t="s">
        <v>6394</v>
      </c>
      <c r="P2596" s="1" t="s">
        <v>2959</v>
      </c>
      <c r="Q2596" s="3">
        <v>0</v>
      </c>
      <c r="S2596" s="23" t="s">
        <v>5949</v>
      </c>
      <c r="T2596" s="23" t="s">
        <v>4931</v>
      </c>
      <c r="U2596" s="3">
        <v>34</v>
      </c>
      <c r="W2596" s="45" t="str">
        <f>HYPERLINK("http://ictvonline.org/taxonomy/p/taxonomy-history?taxnode_id=201850530","ICTVonline=201850530")</f>
        <v>ICTVonline=201850530</v>
      </c>
      <c r="AA2596" s="1">
        <v>201850000</v>
      </c>
      <c r="AB2596" s="1">
        <v>34</v>
      </c>
    </row>
    <row r="2597" spans="1:28" x14ac:dyDescent="0.15">
      <c r="A2597" s="1">
        <v>6605</v>
      </c>
      <c r="J2597" s="1" t="s">
        <v>1332</v>
      </c>
      <c r="L2597" s="1" t="s">
        <v>1333</v>
      </c>
      <c r="N2597" s="1" t="s">
        <v>6394</v>
      </c>
      <c r="P2597" s="1" t="s">
        <v>2961</v>
      </c>
      <c r="Q2597" s="3">
        <v>0</v>
      </c>
      <c r="S2597" s="23" t="s">
        <v>5949</v>
      </c>
      <c r="T2597" s="23" t="s">
        <v>4931</v>
      </c>
      <c r="U2597" s="3">
        <v>34</v>
      </c>
      <c r="W2597" s="45" t="str">
        <f>HYPERLINK("http://ictvonline.org/taxonomy/p/taxonomy-history?taxnode_id=201850532","ICTVonline=201850532")</f>
        <v>ICTVonline=201850532</v>
      </c>
      <c r="AA2597" s="1">
        <v>201850000</v>
      </c>
      <c r="AB2597" s="1">
        <v>34</v>
      </c>
    </row>
    <row r="2598" spans="1:28" x14ac:dyDescent="0.15">
      <c r="A2598" s="1">
        <v>6607</v>
      </c>
      <c r="J2598" s="1" t="s">
        <v>1332</v>
      </c>
      <c r="L2598" s="1" t="s">
        <v>1333</v>
      </c>
      <c r="N2598" s="1" t="s">
        <v>6394</v>
      </c>
      <c r="P2598" s="1" t="s">
        <v>2962</v>
      </c>
      <c r="Q2598" s="3">
        <v>1</v>
      </c>
      <c r="S2598" s="23" t="s">
        <v>5949</v>
      </c>
      <c r="T2598" s="23" t="s">
        <v>4931</v>
      </c>
      <c r="U2598" s="3">
        <v>34</v>
      </c>
      <c r="W2598" s="45" t="str">
        <f>HYPERLINK("http://ictvonline.org/taxonomy/p/taxonomy-history?taxnode_id=201850533","ICTVonline=201850533")</f>
        <v>ICTVonline=201850533</v>
      </c>
      <c r="AA2598" s="1">
        <v>201850000</v>
      </c>
      <c r="AB2598" s="1">
        <v>34</v>
      </c>
    </row>
    <row r="2599" spans="1:28" x14ac:dyDescent="0.15">
      <c r="A2599" s="1">
        <v>6611</v>
      </c>
      <c r="J2599" s="1" t="s">
        <v>1332</v>
      </c>
      <c r="L2599" s="1" t="s">
        <v>1333</v>
      </c>
      <c r="N2599" s="1" t="s">
        <v>6395</v>
      </c>
      <c r="P2599" s="1" t="s">
        <v>6396</v>
      </c>
      <c r="Q2599" s="3">
        <v>1</v>
      </c>
      <c r="S2599" s="23" t="s">
        <v>5949</v>
      </c>
      <c r="T2599" s="23" t="s">
        <v>4929</v>
      </c>
      <c r="U2599" s="3">
        <v>34</v>
      </c>
      <c r="V2599" s="3" t="s">
        <v>6397</v>
      </c>
      <c r="W2599" s="45" t="str">
        <f>HYPERLINK("http://ictvonline.org/taxonomy/p/taxonomy-history?taxnode_id=201856871","ICTVonline=201856871")</f>
        <v>ICTVonline=201856871</v>
      </c>
      <c r="AA2599" s="1">
        <v>201850000</v>
      </c>
      <c r="AB2599" s="1">
        <v>34</v>
      </c>
    </row>
    <row r="2600" spans="1:28" x14ac:dyDescent="0.15">
      <c r="A2600" s="1">
        <v>6615</v>
      </c>
      <c r="J2600" s="1" t="s">
        <v>1332</v>
      </c>
      <c r="L2600" s="1" t="s">
        <v>1333</v>
      </c>
      <c r="N2600" s="1" t="s">
        <v>6398</v>
      </c>
      <c r="P2600" s="1" t="s">
        <v>4249</v>
      </c>
      <c r="Q2600" s="3">
        <v>1</v>
      </c>
      <c r="S2600" s="23" t="s">
        <v>5949</v>
      </c>
      <c r="T2600" s="23" t="s">
        <v>4931</v>
      </c>
      <c r="U2600" s="3">
        <v>34</v>
      </c>
      <c r="W2600" s="45" t="str">
        <f>HYPERLINK("http://ictvonline.org/taxonomy/p/taxonomy-history?taxnode_id=201850453","ICTVonline=201850453")</f>
        <v>ICTVonline=201850453</v>
      </c>
      <c r="AA2600" s="1">
        <v>201850000</v>
      </c>
      <c r="AB2600" s="1">
        <v>34</v>
      </c>
    </row>
    <row r="2601" spans="1:28" x14ac:dyDescent="0.15">
      <c r="A2601" s="1">
        <v>6617</v>
      </c>
      <c r="J2601" s="1" t="s">
        <v>1332</v>
      </c>
      <c r="L2601" s="1" t="s">
        <v>1333</v>
      </c>
      <c r="N2601" s="1" t="s">
        <v>6398</v>
      </c>
      <c r="P2601" s="1" t="s">
        <v>4250</v>
      </c>
      <c r="Q2601" s="3">
        <v>0</v>
      </c>
      <c r="S2601" s="23" t="s">
        <v>5949</v>
      </c>
      <c r="T2601" s="23" t="s">
        <v>4931</v>
      </c>
      <c r="U2601" s="3">
        <v>34</v>
      </c>
      <c r="W2601" s="45" t="str">
        <f>HYPERLINK("http://ictvonline.org/taxonomy/p/taxonomy-history?taxnode_id=201850454","ICTVonline=201850454")</f>
        <v>ICTVonline=201850454</v>
      </c>
      <c r="AA2601" s="1">
        <v>201850000</v>
      </c>
      <c r="AB2601" s="1">
        <v>34</v>
      </c>
    </row>
    <row r="2602" spans="1:28" x14ac:dyDescent="0.15">
      <c r="A2602" s="1">
        <v>6620</v>
      </c>
      <c r="J2602" s="1" t="s">
        <v>1332</v>
      </c>
      <c r="L2602" s="1" t="s">
        <v>1333</v>
      </c>
      <c r="P2602" s="1" t="s">
        <v>2943</v>
      </c>
      <c r="Q2602" s="3">
        <v>0</v>
      </c>
      <c r="S2602" s="23" t="s">
        <v>5949</v>
      </c>
      <c r="W2602" s="45" t="str">
        <f>HYPERLINK("http://ictvonline.org/taxonomy/p/taxonomy-history?taxnode_id=201850513","ICTVonline=201850513")</f>
        <v>ICTVonline=201850513</v>
      </c>
      <c r="AA2602" s="1">
        <v>201850000</v>
      </c>
      <c r="AB2602" s="1">
        <v>34</v>
      </c>
    </row>
    <row r="2603" spans="1:28" x14ac:dyDescent="0.15">
      <c r="A2603" s="1">
        <v>6622</v>
      </c>
      <c r="J2603" s="1" t="s">
        <v>1332</v>
      </c>
      <c r="L2603" s="1" t="s">
        <v>1333</v>
      </c>
      <c r="P2603" s="1" t="s">
        <v>2944</v>
      </c>
      <c r="Q2603" s="3">
        <v>0</v>
      </c>
      <c r="S2603" s="23" t="s">
        <v>5949</v>
      </c>
      <c r="W2603" s="45" t="str">
        <f>HYPERLINK("http://ictvonline.org/taxonomy/p/taxonomy-history?taxnode_id=201850514","ICTVonline=201850514")</f>
        <v>ICTVonline=201850514</v>
      </c>
      <c r="AA2603" s="1">
        <v>201850000</v>
      </c>
      <c r="AB2603" s="1">
        <v>34</v>
      </c>
    </row>
    <row r="2604" spans="1:28" x14ac:dyDescent="0.15">
      <c r="A2604" s="1">
        <v>6624</v>
      </c>
      <c r="J2604" s="1" t="s">
        <v>1332</v>
      </c>
      <c r="L2604" s="1" t="s">
        <v>1333</v>
      </c>
      <c r="P2604" s="1" t="s">
        <v>2945</v>
      </c>
      <c r="Q2604" s="3">
        <v>0</v>
      </c>
      <c r="S2604" s="23" t="s">
        <v>5949</v>
      </c>
      <c r="W2604" s="45" t="str">
        <f>HYPERLINK("http://ictvonline.org/taxonomy/p/taxonomy-history?taxnode_id=201850515","ICTVonline=201850515")</f>
        <v>ICTVonline=201850515</v>
      </c>
      <c r="AA2604" s="1">
        <v>201850000</v>
      </c>
      <c r="AB2604" s="1">
        <v>34</v>
      </c>
    </row>
    <row r="2605" spans="1:28" x14ac:dyDescent="0.15">
      <c r="A2605" s="1">
        <v>6630</v>
      </c>
      <c r="J2605" s="1" t="s">
        <v>1332</v>
      </c>
      <c r="L2605" s="1" t="s">
        <v>900</v>
      </c>
      <c r="M2605" s="1" t="s">
        <v>1357</v>
      </c>
      <c r="N2605" s="1" t="s">
        <v>6399</v>
      </c>
      <c r="P2605" s="1" t="s">
        <v>2966</v>
      </c>
      <c r="Q2605" s="3">
        <v>0</v>
      </c>
      <c r="S2605" s="23" t="s">
        <v>5949</v>
      </c>
      <c r="T2605" s="23" t="s">
        <v>4931</v>
      </c>
      <c r="U2605" s="3">
        <v>34</v>
      </c>
      <c r="W2605" s="45" t="str">
        <f>HYPERLINK("http://ictvonline.org/taxonomy/p/taxonomy-history?taxnode_id=201850558","ICTVonline=201850558")</f>
        <v>ICTVonline=201850558</v>
      </c>
      <c r="AA2605" s="1">
        <v>201850000</v>
      </c>
      <c r="AB2605" s="1">
        <v>34</v>
      </c>
    </row>
    <row r="2606" spans="1:28" x14ac:dyDescent="0.15">
      <c r="A2606" s="1">
        <v>6632</v>
      </c>
      <c r="J2606" s="1" t="s">
        <v>1332</v>
      </c>
      <c r="L2606" s="1" t="s">
        <v>900</v>
      </c>
      <c r="M2606" s="1" t="s">
        <v>1357</v>
      </c>
      <c r="N2606" s="1" t="s">
        <v>6399</v>
      </c>
      <c r="P2606" s="1" t="s">
        <v>2967</v>
      </c>
      <c r="Q2606" s="3">
        <v>0</v>
      </c>
      <c r="S2606" s="23" t="s">
        <v>5949</v>
      </c>
      <c r="T2606" s="23" t="s">
        <v>4931</v>
      </c>
      <c r="U2606" s="3">
        <v>34</v>
      </c>
      <c r="W2606" s="45" t="str">
        <f>HYPERLINK("http://ictvonline.org/taxonomy/p/taxonomy-history?taxnode_id=201850559","ICTVonline=201850559")</f>
        <v>ICTVonline=201850559</v>
      </c>
      <c r="AA2606" s="1">
        <v>201850000</v>
      </c>
      <c r="AB2606" s="1">
        <v>34</v>
      </c>
    </row>
    <row r="2607" spans="1:28" x14ac:dyDescent="0.15">
      <c r="A2607" s="1">
        <v>6634</v>
      </c>
      <c r="J2607" s="1" t="s">
        <v>1332</v>
      </c>
      <c r="L2607" s="1" t="s">
        <v>900</v>
      </c>
      <c r="M2607" s="1" t="s">
        <v>1357</v>
      </c>
      <c r="N2607" s="1" t="s">
        <v>6399</v>
      </c>
      <c r="P2607" s="1" t="s">
        <v>4275</v>
      </c>
      <c r="Q2607" s="3">
        <v>0</v>
      </c>
      <c r="S2607" s="23" t="s">
        <v>5949</v>
      </c>
      <c r="T2607" s="23" t="s">
        <v>4931</v>
      </c>
      <c r="U2607" s="3">
        <v>34</v>
      </c>
      <c r="W2607" s="45" t="str">
        <f>HYPERLINK("http://ictvonline.org/taxonomy/p/taxonomy-history?taxnode_id=201850560","ICTVonline=201850560")</f>
        <v>ICTVonline=201850560</v>
      </c>
      <c r="AA2607" s="1">
        <v>201850000</v>
      </c>
      <c r="AB2607" s="1">
        <v>34</v>
      </c>
    </row>
    <row r="2608" spans="1:28" x14ac:dyDescent="0.15">
      <c r="A2608" s="1">
        <v>6636</v>
      </c>
      <c r="J2608" s="1" t="s">
        <v>1332</v>
      </c>
      <c r="L2608" s="1" t="s">
        <v>900</v>
      </c>
      <c r="M2608" s="1" t="s">
        <v>1357</v>
      </c>
      <c r="N2608" s="1" t="s">
        <v>6399</v>
      </c>
      <c r="P2608" s="1" t="s">
        <v>2968</v>
      </c>
      <c r="Q2608" s="3">
        <v>1</v>
      </c>
      <c r="S2608" s="23" t="s">
        <v>5949</v>
      </c>
      <c r="T2608" s="23" t="s">
        <v>4931</v>
      </c>
      <c r="U2608" s="3">
        <v>34</v>
      </c>
      <c r="W2608" s="45" t="str">
        <f>HYPERLINK("http://ictvonline.org/taxonomy/p/taxonomy-history?taxnode_id=201850561","ICTVonline=201850561")</f>
        <v>ICTVonline=201850561</v>
      </c>
      <c r="AA2608" s="1">
        <v>201850000</v>
      </c>
      <c r="AB2608" s="1">
        <v>34</v>
      </c>
    </row>
    <row r="2609" spans="1:28" x14ac:dyDescent="0.15">
      <c r="A2609" s="1">
        <v>6638</v>
      </c>
      <c r="J2609" s="1" t="s">
        <v>1332</v>
      </c>
      <c r="L2609" s="1" t="s">
        <v>900</v>
      </c>
      <c r="M2609" s="1" t="s">
        <v>1357</v>
      </c>
      <c r="N2609" s="1" t="s">
        <v>6399</v>
      </c>
      <c r="P2609" s="1" t="s">
        <v>4276</v>
      </c>
      <c r="Q2609" s="3">
        <v>0</v>
      </c>
      <c r="S2609" s="23" t="s">
        <v>5949</v>
      </c>
      <c r="T2609" s="23" t="s">
        <v>4931</v>
      </c>
      <c r="U2609" s="3">
        <v>34</v>
      </c>
      <c r="W2609" s="45" t="str">
        <f>HYPERLINK("http://ictvonline.org/taxonomy/p/taxonomy-history?taxnode_id=201850562","ICTVonline=201850562")</f>
        <v>ICTVonline=201850562</v>
      </c>
      <c r="AA2609" s="1">
        <v>201850000</v>
      </c>
      <c r="AB2609" s="1">
        <v>34</v>
      </c>
    </row>
    <row r="2610" spans="1:28" x14ac:dyDescent="0.15">
      <c r="A2610" s="1">
        <v>6640</v>
      </c>
      <c r="J2610" s="1" t="s">
        <v>1332</v>
      </c>
      <c r="L2610" s="1" t="s">
        <v>900</v>
      </c>
      <c r="M2610" s="1" t="s">
        <v>1357</v>
      </c>
      <c r="N2610" s="1" t="s">
        <v>6399</v>
      </c>
      <c r="P2610" s="1" t="s">
        <v>4277</v>
      </c>
      <c r="Q2610" s="3">
        <v>0</v>
      </c>
      <c r="S2610" s="23" t="s">
        <v>5949</v>
      </c>
      <c r="T2610" s="23" t="s">
        <v>4931</v>
      </c>
      <c r="U2610" s="3">
        <v>34</v>
      </c>
      <c r="W2610" s="45" t="str">
        <f>HYPERLINK("http://ictvonline.org/taxonomy/p/taxonomy-history?taxnode_id=201850563","ICTVonline=201850563")</f>
        <v>ICTVonline=201850563</v>
      </c>
      <c r="Y2610" s="48"/>
      <c r="Z2610" s="48"/>
      <c r="AA2610" s="1">
        <v>201850000</v>
      </c>
      <c r="AB2610" s="48">
        <v>34</v>
      </c>
    </row>
    <row r="2611" spans="1:28" x14ac:dyDescent="0.15">
      <c r="A2611" s="1">
        <v>6642</v>
      </c>
      <c r="J2611" s="1" t="s">
        <v>1332</v>
      </c>
      <c r="L2611" s="1" t="s">
        <v>900</v>
      </c>
      <c r="M2611" s="1" t="s">
        <v>1357</v>
      </c>
      <c r="N2611" s="1" t="s">
        <v>6399</v>
      </c>
      <c r="P2611" s="1" t="s">
        <v>4278</v>
      </c>
      <c r="Q2611" s="3">
        <v>0</v>
      </c>
      <c r="S2611" s="23" t="s">
        <v>5949</v>
      </c>
      <c r="T2611" s="23" t="s">
        <v>4931</v>
      </c>
      <c r="U2611" s="3">
        <v>34</v>
      </c>
      <c r="W2611" s="45" t="str">
        <f>HYPERLINK("http://ictvonline.org/taxonomy/p/taxonomy-history?taxnode_id=201850564","ICTVonline=201850564")</f>
        <v>ICTVonline=201850564</v>
      </c>
      <c r="AA2611" s="1">
        <v>201850000</v>
      </c>
      <c r="AB2611" s="1">
        <v>34</v>
      </c>
    </row>
    <row r="2612" spans="1:28" x14ac:dyDescent="0.15">
      <c r="A2612" s="1">
        <v>6644</v>
      </c>
      <c r="J2612" s="1" t="s">
        <v>1332</v>
      </c>
      <c r="L2612" s="1" t="s">
        <v>900</v>
      </c>
      <c r="M2612" s="1" t="s">
        <v>1357</v>
      </c>
      <c r="N2612" s="1" t="s">
        <v>6399</v>
      </c>
      <c r="P2612" s="1" t="s">
        <v>2969</v>
      </c>
      <c r="Q2612" s="3">
        <v>0</v>
      </c>
      <c r="S2612" s="23" t="s">
        <v>5949</v>
      </c>
      <c r="T2612" s="23" t="s">
        <v>4931</v>
      </c>
      <c r="U2612" s="3">
        <v>34</v>
      </c>
      <c r="W2612" s="45" t="str">
        <f>HYPERLINK("http://ictvonline.org/taxonomy/p/taxonomy-history?taxnode_id=201850565","ICTVonline=201850565")</f>
        <v>ICTVonline=201850565</v>
      </c>
      <c r="AA2612" s="1">
        <v>201850000</v>
      </c>
      <c r="AB2612" s="1">
        <v>34</v>
      </c>
    </row>
    <row r="2613" spans="1:28" x14ac:dyDescent="0.15">
      <c r="A2613" s="1">
        <v>6646</v>
      </c>
      <c r="J2613" s="1" t="s">
        <v>1332</v>
      </c>
      <c r="L2613" s="1" t="s">
        <v>900</v>
      </c>
      <c r="M2613" s="1" t="s">
        <v>1357</v>
      </c>
      <c r="N2613" s="1" t="s">
        <v>6399</v>
      </c>
      <c r="P2613" s="1" t="s">
        <v>2970</v>
      </c>
      <c r="Q2613" s="3">
        <v>0</v>
      </c>
      <c r="S2613" s="23" t="s">
        <v>5949</v>
      </c>
      <c r="T2613" s="23" t="s">
        <v>4931</v>
      </c>
      <c r="U2613" s="3">
        <v>34</v>
      </c>
      <c r="W2613" s="45" t="str">
        <f>HYPERLINK("http://ictvonline.org/taxonomy/p/taxonomy-history?taxnode_id=201850566","ICTVonline=201850566")</f>
        <v>ICTVonline=201850566</v>
      </c>
      <c r="AA2613" s="1">
        <v>201850000</v>
      </c>
      <c r="AB2613" s="1">
        <v>34</v>
      </c>
    </row>
    <row r="2614" spans="1:28" x14ac:dyDescent="0.15">
      <c r="A2614" s="1">
        <v>6650</v>
      </c>
      <c r="J2614" s="1" t="s">
        <v>1332</v>
      </c>
      <c r="L2614" s="1" t="s">
        <v>900</v>
      </c>
      <c r="M2614" s="1" t="s">
        <v>1357</v>
      </c>
      <c r="N2614" s="1" t="s">
        <v>6400</v>
      </c>
      <c r="P2614" s="1" t="s">
        <v>4262</v>
      </c>
      <c r="Q2614" s="3">
        <v>0</v>
      </c>
      <c r="S2614" s="23" t="s">
        <v>5949</v>
      </c>
      <c r="T2614" s="23" t="s">
        <v>4931</v>
      </c>
      <c r="U2614" s="3">
        <v>34</v>
      </c>
      <c r="W2614" s="45" t="str">
        <f>HYPERLINK("http://ictvonline.org/taxonomy/p/taxonomy-history?taxnode_id=201850543","ICTVonline=201850543")</f>
        <v>ICTVonline=201850543</v>
      </c>
      <c r="AA2614" s="1">
        <v>201850000</v>
      </c>
      <c r="AB2614" s="1">
        <v>34</v>
      </c>
    </row>
    <row r="2615" spans="1:28" x14ac:dyDescent="0.15">
      <c r="A2615" s="1">
        <v>6652</v>
      </c>
      <c r="J2615" s="1" t="s">
        <v>1332</v>
      </c>
      <c r="L2615" s="1" t="s">
        <v>900</v>
      </c>
      <c r="M2615" s="1" t="s">
        <v>1357</v>
      </c>
      <c r="N2615" s="1" t="s">
        <v>6400</v>
      </c>
      <c r="P2615" s="1" t="s">
        <v>4263</v>
      </c>
      <c r="Q2615" s="3">
        <v>0</v>
      </c>
      <c r="S2615" s="23" t="s">
        <v>5949</v>
      </c>
      <c r="T2615" s="23" t="s">
        <v>4931</v>
      </c>
      <c r="U2615" s="3">
        <v>34</v>
      </c>
      <c r="W2615" s="45" t="str">
        <f>HYPERLINK("http://ictvonline.org/taxonomy/p/taxonomy-history?taxnode_id=201850544","ICTVonline=201850544")</f>
        <v>ICTVonline=201850544</v>
      </c>
      <c r="AA2615" s="1">
        <v>201850000</v>
      </c>
      <c r="AB2615" s="1">
        <v>34</v>
      </c>
    </row>
    <row r="2616" spans="1:28" x14ac:dyDescent="0.15">
      <c r="A2616" s="1">
        <v>6654</v>
      </c>
      <c r="J2616" s="1" t="s">
        <v>1332</v>
      </c>
      <c r="L2616" s="1" t="s">
        <v>900</v>
      </c>
      <c r="M2616" s="1" t="s">
        <v>1357</v>
      </c>
      <c r="N2616" s="1" t="s">
        <v>6400</v>
      </c>
      <c r="P2616" s="1" t="s">
        <v>6401</v>
      </c>
      <c r="Q2616" s="3">
        <v>0</v>
      </c>
      <c r="S2616" s="23" t="s">
        <v>5949</v>
      </c>
      <c r="T2616" s="23" t="s">
        <v>4929</v>
      </c>
      <c r="U2616" s="3">
        <v>34</v>
      </c>
      <c r="V2616" s="3" t="s">
        <v>6402</v>
      </c>
      <c r="W2616" s="45" t="str">
        <f>HYPERLINK("http://ictvonline.org/taxonomy/p/taxonomy-history?taxnode_id=201856909","ICTVonline=201856909")</f>
        <v>ICTVonline=201856909</v>
      </c>
      <c r="Z2616" s="48"/>
      <c r="AA2616" s="1">
        <v>201850000</v>
      </c>
      <c r="AB2616" s="1">
        <v>34</v>
      </c>
    </row>
    <row r="2617" spans="1:28" x14ac:dyDescent="0.15">
      <c r="A2617" s="1">
        <v>6656</v>
      </c>
      <c r="J2617" s="1" t="s">
        <v>1332</v>
      </c>
      <c r="L2617" s="1" t="s">
        <v>900</v>
      </c>
      <c r="M2617" s="1" t="s">
        <v>1357</v>
      </c>
      <c r="N2617" s="1" t="s">
        <v>6400</v>
      </c>
      <c r="P2617" s="1" t="s">
        <v>6403</v>
      </c>
      <c r="Q2617" s="3">
        <v>0</v>
      </c>
      <c r="S2617" s="23" t="s">
        <v>5949</v>
      </c>
      <c r="T2617" s="23" t="s">
        <v>4929</v>
      </c>
      <c r="U2617" s="3">
        <v>34</v>
      </c>
      <c r="V2617" s="3" t="s">
        <v>6402</v>
      </c>
      <c r="W2617" s="45" t="str">
        <f>HYPERLINK("http://ictvonline.org/taxonomy/p/taxonomy-history?taxnode_id=201856910","ICTVonline=201856910")</f>
        <v>ICTVonline=201856910</v>
      </c>
      <c r="AA2617" s="1">
        <v>201850000</v>
      </c>
      <c r="AB2617" s="1">
        <v>34</v>
      </c>
    </row>
    <row r="2618" spans="1:28" x14ac:dyDescent="0.15">
      <c r="A2618" s="1">
        <v>6658</v>
      </c>
      <c r="J2618" s="1" t="s">
        <v>1332</v>
      </c>
      <c r="L2618" s="1" t="s">
        <v>900</v>
      </c>
      <c r="M2618" s="1" t="s">
        <v>1357</v>
      </c>
      <c r="N2618" s="1" t="s">
        <v>6400</v>
      </c>
      <c r="P2618" s="1" t="s">
        <v>4264</v>
      </c>
      <c r="Q2618" s="3">
        <v>1</v>
      </c>
      <c r="S2618" s="23" t="s">
        <v>5949</v>
      </c>
      <c r="T2618" s="23" t="s">
        <v>4931</v>
      </c>
      <c r="U2618" s="3">
        <v>34</v>
      </c>
      <c r="W2618" s="45" t="str">
        <f>HYPERLINK("http://ictvonline.org/taxonomy/p/taxonomy-history?taxnode_id=201850545","ICTVonline=201850545")</f>
        <v>ICTVonline=201850545</v>
      </c>
      <c r="AA2618" s="1">
        <v>201850000</v>
      </c>
      <c r="AB2618" s="1">
        <v>34</v>
      </c>
    </row>
    <row r="2619" spans="1:28" x14ac:dyDescent="0.15">
      <c r="A2619" s="1">
        <v>6660</v>
      </c>
      <c r="J2619" s="1" t="s">
        <v>1332</v>
      </c>
      <c r="L2619" s="1" t="s">
        <v>900</v>
      </c>
      <c r="M2619" s="1" t="s">
        <v>1357</v>
      </c>
      <c r="N2619" s="1" t="s">
        <v>6400</v>
      </c>
      <c r="P2619" s="1" t="s">
        <v>4265</v>
      </c>
      <c r="Q2619" s="3">
        <v>0</v>
      </c>
      <c r="S2619" s="23" t="s">
        <v>5949</v>
      </c>
      <c r="T2619" s="23" t="s">
        <v>4931</v>
      </c>
      <c r="U2619" s="3">
        <v>34</v>
      </c>
      <c r="W2619" s="45" t="str">
        <f>HYPERLINK("http://ictvonline.org/taxonomy/p/taxonomy-history?taxnode_id=201850546","ICTVonline=201850546")</f>
        <v>ICTVonline=201850546</v>
      </c>
      <c r="AA2619" s="1">
        <v>201850000</v>
      </c>
      <c r="AB2619" s="1">
        <v>34</v>
      </c>
    </row>
    <row r="2620" spans="1:28" x14ac:dyDescent="0.15">
      <c r="A2620" s="1">
        <v>6662</v>
      </c>
      <c r="J2620" s="1" t="s">
        <v>1332</v>
      </c>
      <c r="L2620" s="1" t="s">
        <v>900</v>
      </c>
      <c r="M2620" s="1" t="s">
        <v>1357</v>
      </c>
      <c r="N2620" s="1" t="s">
        <v>6400</v>
      </c>
      <c r="P2620" s="1" t="s">
        <v>4266</v>
      </c>
      <c r="Q2620" s="3">
        <v>0</v>
      </c>
      <c r="S2620" s="23" t="s">
        <v>5949</v>
      </c>
      <c r="T2620" s="23" t="s">
        <v>4931</v>
      </c>
      <c r="U2620" s="3">
        <v>34</v>
      </c>
      <c r="W2620" s="45" t="str">
        <f>HYPERLINK("http://ictvonline.org/taxonomy/p/taxonomy-history?taxnode_id=201850547","ICTVonline=201850547")</f>
        <v>ICTVonline=201850547</v>
      </c>
      <c r="AA2620" s="1">
        <v>201850000</v>
      </c>
      <c r="AB2620" s="1">
        <v>34</v>
      </c>
    </row>
    <row r="2621" spans="1:28" x14ac:dyDescent="0.15">
      <c r="A2621" s="1">
        <v>6664</v>
      </c>
      <c r="J2621" s="1" t="s">
        <v>1332</v>
      </c>
      <c r="L2621" s="1" t="s">
        <v>900</v>
      </c>
      <c r="M2621" s="1" t="s">
        <v>1357</v>
      </c>
      <c r="N2621" s="1" t="s">
        <v>6400</v>
      </c>
      <c r="P2621" s="1" t="s">
        <v>4267</v>
      </c>
      <c r="Q2621" s="3">
        <v>0</v>
      </c>
      <c r="S2621" s="23" t="s">
        <v>5949</v>
      </c>
      <c r="T2621" s="23" t="s">
        <v>4931</v>
      </c>
      <c r="U2621" s="3">
        <v>34</v>
      </c>
      <c r="W2621" s="45" t="str">
        <f>HYPERLINK("http://ictvonline.org/taxonomy/p/taxonomy-history?taxnode_id=201850548","ICTVonline=201850548")</f>
        <v>ICTVonline=201850548</v>
      </c>
      <c r="AA2621" s="1">
        <v>201850000</v>
      </c>
      <c r="AB2621" s="1">
        <v>34</v>
      </c>
    </row>
    <row r="2622" spans="1:28" x14ac:dyDescent="0.15">
      <c r="A2622" s="1">
        <v>6666</v>
      </c>
      <c r="J2622" s="1" t="s">
        <v>1332</v>
      </c>
      <c r="L2622" s="1" t="s">
        <v>900</v>
      </c>
      <c r="M2622" s="1" t="s">
        <v>1357</v>
      </c>
      <c r="N2622" s="1" t="s">
        <v>6400</v>
      </c>
      <c r="P2622" s="1" t="s">
        <v>4268</v>
      </c>
      <c r="Q2622" s="3">
        <v>0</v>
      </c>
      <c r="S2622" s="23" t="s">
        <v>5949</v>
      </c>
      <c r="T2622" s="23" t="s">
        <v>4931</v>
      </c>
      <c r="U2622" s="3">
        <v>34</v>
      </c>
      <c r="W2622" s="45" t="str">
        <f>HYPERLINK("http://ictvonline.org/taxonomy/p/taxonomy-history?taxnode_id=201850549","ICTVonline=201850549")</f>
        <v>ICTVonline=201850549</v>
      </c>
      <c r="AA2622" s="1">
        <v>201850000</v>
      </c>
      <c r="AB2622" s="1">
        <v>34</v>
      </c>
    </row>
    <row r="2623" spans="1:28" x14ac:dyDescent="0.15">
      <c r="A2623" s="1">
        <v>6668</v>
      </c>
      <c r="J2623" s="1" t="s">
        <v>1332</v>
      </c>
      <c r="L2623" s="1" t="s">
        <v>900</v>
      </c>
      <c r="M2623" s="1" t="s">
        <v>1357</v>
      </c>
      <c r="N2623" s="1" t="s">
        <v>6400</v>
      </c>
      <c r="P2623" s="1" t="s">
        <v>6404</v>
      </c>
      <c r="Q2623" s="3">
        <v>0</v>
      </c>
      <c r="S2623" s="23" t="s">
        <v>5949</v>
      </c>
      <c r="T2623" s="23" t="s">
        <v>4929</v>
      </c>
      <c r="U2623" s="3">
        <v>34</v>
      </c>
      <c r="V2623" s="3" t="s">
        <v>6402</v>
      </c>
      <c r="W2623" s="45" t="str">
        <f>HYPERLINK("http://ictvonline.org/taxonomy/p/taxonomy-history?taxnode_id=201856911","ICTVonline=201856911")</f>
        <v>ICTVonline=201856911</v>
      </c>
      <c r="AA2623" s="1">
        <v>201850000</v>
      </c>
      <c r="AB2623" s="1">
        <v>34</v>
      </c>
    </row>
    <row r="2624" spans="1:28" x14ac:dyDescent="0.15">
      <c r="A2624" s="1">
        <v>6670</v>
      </c>
      <c r="J2624" s="1" t="s">
        <v>1332</v>
      </c>
      <c r="L2624" s="1" t="s">
        <v>900</v>
      </c>
      <c r="M2624" s="1" t="s">
        <v>1357</v>
      </c>
      <c r="N2624" s="1" t="s">
        <v>6400</v>
      </c>
      <c r="P2624" s="1" t="s">
        <v>6405</v>
      </c>
      <c r="Q2624" s="3">
        <v>0</v>
      </c>
      <c r="S2624" s="23" t="s">
        <v>5949</v>
      </c>
      <c r="T2624" s="23" t="s">
        <v>4929</v>
      </c>
      <c r="U2624" s="3">
        <v>34</v>
      </c>
      <c r="V2624" s="3" t="s">
        <v>6402</v>
      </c>
      <c r="W2624" s="45" t="str">
        <f>HYPERLINK("http://ictvonline.org/taxonomy/p/taxonomy-history?taxnode_id=201856908","ICTVonline=201856908")</f>
        <v>ICTVonline=201856908</v>
      </c>
      <c r="AA2624" s="1">
        <v>201850000</v>
      </c>
      <c r="AB2624" s="1">
        <v>34</v>
      </c>
    </row>
    <row r="2625" spans="1:28" x14ac:dyDescent="0.15">
      <c r="A2625" s="1">
        <v>6672</v>
      </c>
      <c r="J2625" s="1" t="s">
        <v>1332</v>
      </c>
      <c r="L2625" s="1" t="s">
        <v>900</v>
      </c>
      <c r="M2625" s="1" t="s">
        <v>1357</v>
      </c>
      <c r="N2625" s="1" t="s">
        <v>6400</v>
      </c>
      <c r="P2625" s="1" t="s">
        <v>6406</v>
      </c>
      <c r="Q2625" s="3">
        <v>0</v>
      </c>
      <c r="S2625" s="23" t="s">
        <v>5949</v>
      </c>
      <c r="T2625" s="23" t="s">
        <v>4929</v>
      </c>
      <c r="U2625" s="3">
        <v>34</v>
      </c>
      <c r="V2625" s="3" t="s">
        <v>6402</v>
      </c>
      <c r="W2625" s="45" t="str">
        <f>HYPERLINK("http://ictvonline.org/taxonomy/p/taxonomy-history?taxnode_id=201856903","ICTVonline=201856903")</f>
        <v>ICTVonline=201856903</v>
      </c>
      <c r="AA2625" s="1">
        <v>201850000</v>
      </c>
      <c r="AB2625" s="1">
        <v>34</v>
      </c>
    </row>
    <row r="2626" spans="1:28" x14ac:dyDescent="0.15">
      <c r="A2626" s="1">
        <v>6674</v>
      </c>
      <c r="J2626" s="1" t="s">
        <v>1332</v>
      </c>
      <c r="L2626" s="1" t="s">
        <v>900</v>
      </c>
      <c r="M2626" s="1" t="s">
        <v>1357</v>
      </c>
      <c r="N2626" s="1" t="s">
        <v>6400</v>
      </c>
      <c r="P2626" s="1" t="s">
        <v>6407</v>
      </c>
      <c r="Q2626" s="3">
        <v>0</v>
      </c>
      <c r="S2626" s="23" t="s">
        <v>5949</v>
      </c>
      <c r="T2626" s="23" t="s">
        <v>4929</v>
      </c>
      <c r="U2626" s="3">
        <v>34</v>
      </c>
      <c r="V2626" s="3" t="s">
        <v>6402</v>
      </c>
      <c r="W2626" s="45" t="str">
        <f>HYPERLINK("http://ictvonline.org/taxonomy/p/taxonomy-history?taxnode_id=201856904","ICTVonline=201856904")</f>
        <v>ICTVonline=201856904</v>
      </c>
      <c r="AA2626" s="1">
        <v>201850000</v>
      </c>
      <c r="AB2626" s="1">
        <v>34</v>
      </c>
    </row>
    <row r="2627" spans="1:28" x14ac:dyDescent="0.15">
      <c r="A2627" s="1">
        <v>6676</v>
      </c>
      <c r="J2627" s="1" t="s">
        <v>1332</v>
      </c>
      <c r="L2627" s="1" t="s">
        <v>900</v>
      </c>
      <c r="M2627" s="1" t="s">
        <v>1357</v>
      </c>
      <c r="N2627" s="1" t="s">
        <v>6400</v>
      </c>
      <c r="P2627" s="1" t="s">
        <v>6408</v>
      </c>
      <c r="Q2627" s="3">
        <v>0</v>
      </c>
      <c r="S2627" s="23" t="s">
        <v>5949</v>
      </c>
      <c r="T2627" s="23" t="s">
        <v>4929</v>
      </c>
      <c r="U2627" s="3">
        <v>34</v>
      </c>
      <c r="V2627" s="3" t="s">
        <v>6402</v>
      </c>
      <c r="W2627" s="45" t="str">
        <f>HYPERLINK("http://ictvonline.org/taxonomy/p/taxonomy-history?taxnode_id=201856905","ICTVonline=201856905")</f>
        <v>ICTVonline=201856905</v>
      </c>
      <c r="AA2627" s="1">
        <v>201850000</v>
      </c>
      <c r="AB2627" s="1">
        <v>34</v>
      </c>
    </row>
    <row r="2628" spans="1:28" x14ac:dyDescent="0.15">
      <c r="A2628" s="1">
        <v>6678</v>
      </c>
      <c r="J2628" s="1" t="s">
        <v>1332</v>
      </c>
      <c r="L2628" s="1" t="s">
        <v>900</v>
      </c>
      <c r="M2628" s="1" t="s">
        <v>1357</v>
      </c>
      <c r="N2628" s="1" t="s">
        <v>6400</v>
      </c>
      <c r="P2628" s="1" t="s">
        <v>6409</v>
      </c>
      <c r="Q2628" s="3">
        <v>0</v>
      </c>
      <c r="S2628" s="23" t="s">
        <v>5949</v>
      </c>
      <c r="T2628" s="23" t="s">
        <v>4929</v>
      </c>
      <c r="U2628" s="3">
        <v>34</v>
      </c>
      <c r="V2628" s="3" t="s">
        <v>6402</v>
      </c>
      <c r="W2628" s="45" t="str">
        <f>HYPERLINK("http://ictvonline.org/taxonomy/p/taxonomy-history?taxnode_id=201856912","ICTVonline=201856912")</f>
        <v>ICTVonline=201856912</v>
      </c>
      <c r="AA2628" s="1">
        <v>201850000</v>
      </c>
      <c r="AB2628" s="1">
        <v>34</v>
      </c>
    </row>
    <row r="2629" spans="1:28" x14ac:dyDescent="0.15">
      <c r="A2629" s="1">
        <v>6680</v>
      </c>
      <c r="J2629" s="1" t="s">
        <v>1332</v>
      </c>
      <c r="L2629" s="1" t="s">
        <v>900</v>
      </c>
      <c r="M2629" s="1" t="s">
        <v>1357</v>
      </c>
      <c r="N2629" s="1" t="s">
        <v>6400</v>
      </c>
      <c r="P2629" s="1" t="s">
        <v>6410</v>
      </c>
      <c r="Q2629" s="3">
        <v>0</v>
      </c>
      <c r="S2629" s="23" t="s">
        <v>5949</v>
      </c>
      <c r="T2629" s="23" t="s">
        <v>4929</v>
      </c>
      <c r="U2629" s="3">
        <v>34</v>
      </c>
      <c r="V2629" s="3" t="s">
        <v>6402</v>
      </c>
      <c r="W2629" s="45" t="str">
        <f>HYPERLINK("http://ictvonline.org/taxonomy/p/taxonomy-history?taxnode_id=201856906","ICTVonline=201856906")</f>
        <v>ICTVonline=201856906</v>
      </c>
      <c r="AA2629" s="1">
        <v>201850000</v>
      </c>
      <c r="AB2629" s="1">
        <v>34</v>
      </c>
    </row>
    <row r="2630" spans="1:28" x14ac:dyDescent="0.15">
      <c r="A2630" s="1">
        <v>6682</v>
      </c>
      <c r="J2630" s="1" t="s">
        <v>1332</v>
      </c>
      <c r="L2630" s="1" t="s">
        <v>900</v>
      </c>
      <c r="M2630" s="1" t="s">
        <v>1357</v>
      </c>
      <c r="N2630" s="1" t="s">
        <v>6400</v>
      </c>
      <c r="P2630" s="1" t="s">
        <v>6411</v>
      </c>
      <c r="Q2630" s="3">
        <v>0</v>
      </c>
      <c r="S2630" s="23" t="s">
        <v>5949</v>
      </c>
      <c r="T2630" s="23" t="s">
        <v>4929</v>
      </c>
      <c r="U2630" s="3">
        <v>34</v>
      </c>
      <c r="V2630" s="3" t="s">
        <v>6402</v>
      </c>
      <c r="W2630" s="45" t="str">
        <f>HYPERLINK("http://ictvonline.org/taxonomy/p/taxonomy-history?taxnode_id=201856907","ICTVonline=201856907")</f>
        <v>ICTVonline=201856907</v>
      </c>
      <c r="AA2630" s="1">
        <v>201850000</v>
      </c>
      <c r="AB2630" s="1">
        <v>34</v>
      </c>
    </row>
    <row r="2631" spans="1:28" x14ac:dyDescent="0.15">
      <c r="A2631" s="1">
        <v>6684</v>
      </c>
      <c r="J2631" s="1" t="s">
        <v>1332</v>
      </c>
      <c r="L2631" s="1" t="s">
        <v>900</v>
      </c>
      <c r="M2631" s="1" t="s">
        <v>1357</v>
      </c>
      <c r="N2631" s="1" t="s">
        <v>6400</v>
      </c>
      <c r="P2631" s="1" t="s">
        <v>6412</v>
      </c>
      <c r="Q2631" s="3">
        <v>0</v>
      </c>
      <c r="S2631" s="23" t="s">
        <v>5949</v>
      </c>
      <c r="T2631" s="23" t="s">
        <v>4929</v>
      </c>
      <c r="U2631" s="3">
        <v>34</v>
      </c>
      <c r="V2631" s="3" t="s">
        <v>6402</v>
      </c>
      <c r="W2631" s="45" t="str">
        <f>HYPERLINK("http://ictvonline.org/taxonomy/p/taxonomy-history?taxnode_id=201856913","ICTVonline=201856913")</f>
        <v>ICTVonline=201856913</v>
      </c>
      <c r="AA2631" s="1">
        <v>201850000</v>
      </c>
      <c r="AB2631" s="1">
        <v>34</v>
      </c>
    </row>
    <row r="2632" spans="1:28" x14ac:dyDescent="0.15">
      <c r="A2632" s="1">
        <v>6688</v>
      </c>
      <c r="J2632" s="1" t="s">
        <v>1332</v>
      </c>
      <c r="L2632" s="1" t="s">
        <v>900</v>
      </c>
      <c r="M2632" s="1" t="s">
        <v>1357</v>
      </c>
      <c r="N2632" s="1" t="s">
        <v>6413</v>
      </c>
      <c r="P2632" s="1" t="s">
        <v>6414</v>
      </c>
      <c r="Q2632" s="3">
        <v>1</v>
      </c>
      <c r="S2632" s="23" t="s">
        <v>5949</v>
      </c>
      <c r="T2632" s="23" t="s">
        <v>4929</v>
      </c>
      <c r="U2632" s="3">
        <v>34</v>
      </c>
      <c r="V2632" s="3" t="s">
        <v>6415</v>
      </c>
      <c r="W2632" s="45" t="str">
        <f>HYPERLINK("http://ictvonline.org/taxonomy/p/taxonomy-history?taxnode_id=201856881","ICTVonline=201856881")</f>
        <v>ICTVonline=201856881</v>
      </c>
      <c r="AA2632" s="1">
        <v>201850000</v>
      </c>
      <c r="AB2632" s="1">
        <v>34</v>
      </c>
    </row>
    <row r="2633" spans="1:28" x14ac:dyDescent="0.15">
      <c r="A2633" s="1">
        <v>6692</v>
      </c>
      <c r="J2633" s="1" t="s">
        <v>1332</v>
      </c>
      <c r="L2633" s="1" t="s">
        <v>900</v>
      </c>
      <c r="M2633" s="1" t="s">
        <v>1357</v>
      </c>
      <c r="N2633" s="1" t="s">
        <v>2971</v>
      </c>
      <c r="P2633" s="1" t="s">
        <v>2972</v>
      </c>
      <c r="Q2633" s="3">
        <v>0</v>
      </c>
      <c r="S2633" s="23" t="s">
        <v>5949</v>
      </c>
      <c r="W2633" s="45" t="str">
        <f>HYPERLINK("http://ictvonline.org/taxonomy/p/taxonomy-history?taxnode_id=201850568","ICTVonline=201850568")</f>
        <v>ICTVonline=201850568</v>
      </c>
      <c r="AA2633" s="1">
        <v>201850000</v>
      </c>
      <c r="AB2633" s="1">
        <v>34</v>
      </c>
    </row>
    <row r="2634" spans="1:28" x14ac:dyDescent="0.15">
      <c r="A2634" s="1">
        <v>6694</v>
      </c>
      <c r="J2634" s="1" t="s">
        <v>1332</v>
      </c>
      <c r="L2634" s="1" t="s">
        <v>900</v>
      </c>
      <c r="M2634" s="1" t="s">
        <v>1357</v>
      </c>
      <c r="N2634" s="1" t="s">
        <v>2971</v>
      </c>
      <c r="P2634" s="1" t="s">
        <v>2973</v>
      </c>
      <c r="Q2634" s="3">
        <v>0</v>
      </c>
      <c r="S2634" s="23" t="s">
        <v>5949</v>
      </c>
      <c r="W2634" s="45" t="str">
        <f>HYPERLINK("http://ictvonline.org/taxonomy/p/taxonomy-history?taxnode_id=201850569","ICTVonline=201850569")</f>
        <v>ICTVonline=201850569</v>
      </c>
      <c r="AA2634" s="1">
        <v>201850000</v>
      </c>
      <c r="AB2634" s="1">
        <v>34</v>
      </c>
    </row>
    <row r="2635" spans="1:28" x14ac:dyDescent="0.15">
      <c r="A2635" s="1">
        <v>6696</v>
      </c>
      <c r="J2635" s="1" t="s">
        <v>1332</v>
      </c>
      <c r="L2635" s="1" t="s">
        <v>900</v>
      </c>
      <c r="M2635" s="1" t="s">
        <v>1357</v>
      </c>
      <c r="N2635" s="1" t="s">
        <v>2971</v>
      </c>
      <c r="P2635" s="1" t="s">
        <v>2974</v>
      </c>
      <c r="Q2635" s="3">
        <v>0</v>
      </c>
      <c r="S2635" s="23" t="s">
        <v>5949</v>
      </c>
      <c r="W2635" s="45" t="str">
        <f>HYPERLINK("http://ictvonline.org/taxonomy/p/taxonomy-history?taxnode_id=201850570","ICTVonline=201850570")</f>
        <v>ICTVonline=201850570</v>
      </c>
      <c r="AA2635" s="1">
        <v>201850000</v>
      </c>
      <c r="AB2635" s="1">
        <v>34</v>
      </c>
    </row>
    <row r="2636" spans="1:28" x14ac:dyDescent="0.15">
      <c r="A2636" s="1">
        <v>6698</v>
      </c>
      <c r="J2636" s="1" t="s">
        <v>1332</v>
      </c>
      <c r="L2636" s="1" t="s">
        <v>900</v>
      </c>
      <c r="M2636" s="1" t="s">
        <v>1357</v>
      </c>
      <c r="N2636" s="1" t="s">
        <v>2971</v>
      </c>
      <c r="P2636" s="1" t="s">
        <v>2975</v>
      </c>
      <c r="Q2636" s="3">
        <v>1</v>
      </c>
      <c r="S2636" s="23" t="s">
        <v>5949</v>
      </c>
      <c r="W2636" s="45" t="str">
        <f>HYPERLINK("http://ictvonline.org/taxonomy/p/taxonomy-history?taxnode_id=201850571","ICTVonline=201850571")</f>
        <v>ICTVonline=201850571</v>
      </c>
      <c r="AA2636" s="1">
        <v>201850000</v>
      </c>
      <c r="AB2636" s="1">
        <v>34</v>
      </c>
    </row>
    <row r="2637" spans="1:28" x14ac:dyDescent="0.15">
      <c r="A2637" s="1">
        <v>6702</v>
      </c>
      <c r="J2637" s="1" t="s">
        <v>1332</v>
      </c>
      <c r="L2637" s="1" t="s">
        <v>900</v>
      </c>
      <c r="M2637" s="1" t="s">
        <v>1357</v>
      </c>
      <c r="N2637" s="1" t="s">
        <v>6416</v>
      </c>
      <c r="P2637" s="1" t="s">
        <v>6417</v>
      </c>
      <c r="Q2637" s="3">
        <v>0</v>
      </c>
      <c r="S2637" s="23" t="s">
        <v>5949</v>
      </c>
      <c r="T2637" s="23" t="s">
        <v>4929</v>
      </c>
      <c r="U2637" s="3">
        <v>34</v>
      </c>
      <c r="V2637" s="3" t="s">
        <v>6418</v>
      </c>
      <c r="W2637" s="45" t="str">
        <f>HYPERLINK("http://ictvonline.org/taxonomy/p/taxonomy-history?taxnode_id=201856925","ICTVonline=201856925")</f>
        <v>ICTVonline=201856925</v>
      </c>
      <c r="AA2637" s="1">
        <v>201850000</v>
      </c>
      <c r="AB2637" s="1">
        <v>34</v>
      </c>
    </row>
    <row r="2638" spans="1:28" x14ac:dyDescent="0.15">
      <c r="A2638" s="1">
        <v>6704</v>
      </c>
      <c r="J2638" s="1" t="s">
        <v>1332</v>
      </c>
      <c r="L2638" s="1" t="s">
        <v>900</v>
      </c>
      <c r="M2638" s="1" t="s">
        <v>1357</v>
      </c>
      <c r="N2638" s="1" t="s">
        <v>6416</v>
      </c>
      <c r="P2638" s="1" t="s">
        <v>6419</v>
      </c>
      <c r="Q2638" s="3">
        <v>1</v>
      </c>
      <c r="S2638" s="23" t="s">
        <v>5949</v>
      </c>
      <c r="T2638" s="23" t="s">
        <v>4929</v>
      </c>
      <c r="U2638" s="3">
        <v>34</v>
      </c>
      <c r="V2638" s="3" t="s">
        <v>6418</v>
      </c>
      <c r="W2638" s="45" t="str">
        <f>HYPERLINK("http://ictvonline.org/taxonomy/p/taxonomy-history?taxnode_id=201856924","ICTVonline=201856924")</f>
        <v>ICTVonline=201856924</v>
      </c>
      <c r="AA2638" s="1">
        <v>201850000</v>
      </c>
      <c r="AB2638" s="1">
        <v>34</v>
      </c>
    </row>
    <row r="2639" spans="1:28" x14ac:dyDescent="0.15">
      <c r="A2639" s="1">
        <v>6706</v>
      </c>
      <c r="J2639" s="1" t="s">
        <v>1332</v>
      </c>
      <c r="L2639" s="1" t="s">
        <v>900</v>
      </c>
      <c r="M2639" s="1" t="s">
        <v>1357</v>
      </c>
      <c r="N2639" s="1" t="s">
        <v>6416</v>
      </c>
      <c r="P2639" s="1" t="s">
        <v>6420</v>
      </c>
      <c r="Q2639" s="3">
        <v>0</v>
      </c>
      <c r="S2639" s="23" t="s">
        <v>5949</v>
      </c>
      <c r="T2639" s="23" t="s">
        <v>4929</v>
      </c>
      <c r="U2639" s="3">
        <v>34</v>
      </c>
      <c r="V2639" s="3" t="s">
        <v>6418</v>
      </c>
      <c r="W2639" s="45" t="str">
        <f>HYPERLINK("http://ictvonline.org/taxonomy/p/taxonomy-history?taxnode_id=201856926","ICTVonline=201856926")</f>
        <v>ICTVonline=201856926</v>
      </c>
      <c r="AA2639" s="1">
        <v>201850000</v>
      </c>
      <c r="AB2639" s="1">
        <v>34</v>
      </c>
    </row>
    <row r="2640" spans="1:28" x14ac:dyDescent="0.15">
      <c r="A2640" s="1">
        <v>6708</v>
      </c>
      <c r="J2640" s="1" t="s">
        <v>1332</v>
      </c>
      <c r="L2640" s="1" t="s">
        <v>900</v>
      </c>
      <c r="M2640" s="1" t="s">
        <v>1357</v>
      </c>
      <c r="N2640" s="1" t="s">
        <v>6416</v>
      </c>
      <c r="P2640" s="1" t="s">
        <v>6421</v>
      </c>
      <c r="Q2640" s="3">
        <v>0</v>
      </c>
      <c r="S2640" s="23" t="s">
        <v>5949</v>
      </c>
      <c r="T2640" s="23" t="s">
        <v>4929</v>
      </c>
      <c r="U2640" s="3">
        <v>34</v>
      </c>
      <c r="V2640" s="3" t="s">
        <v>6418</v>
      </c>
      <c r="W2640" s="45" t="str">
        <f>HYPERLINK("http://ictvonline.org/taxonomy/p/taxonomy-history?taxnode_id=201856927","ICTVonline=201856927")</f>
        <v>ICTVonline=201856927</v>
      </c>
      <c r="AA2640" s="1">
        <v>201850000</v>
      </c>
      <c r="AB2640" s="1">
        <v>34</v>
      </c>
    </row>
    <row r="2641" spans="1:28" x14ac:dyDescent="0.15">
      <c r="A2641" s="1">
        <v>6712</v>
      </c>
      <c r="J2641" s="1" t="s">
        <v>1332</v>
      </c>
      <c r="L2641" s="1" t="s">
        <v>900</v>
      </c>
      <c r="M2641" s="1" t="s">
        <v>1357</v>
      </c>
      <c r="N2641" s="1" t="s">
        <v>6422</v>
      </c>
      <c r="P2641" s="1" t="s">
        <v>6423</v>
      </c>
      <c r="Q2641" s="3">
        <v>1</v>
      </c>
      <c r="S2641" s="23" t="s">
        <v>5949</v>
      </c>
      <c r="T2641" s="23" t="s">
        <v>4929</v>
      </c>
      <c r="U2641" s="3">
        <v>34</v>
      </c>
      <c r="V2641" s="3" t="s">
        <v>6424</v>
      </c>
      <c r="W2641" s="45" t="str">
        <f>HYPERLINK("http://ictvonline.org/taxonomy/p/taxonomy-history?taxnode_id=201856861","ICTVonline=201856861")</f>
        <v>ICTVonline=201856861</v>
      </c>
      <c r="AA2641" s="1">
        <v>201850000</v>
      </c>
      <c r="AB2641" s="1">
        <v>34</v>
      </c>
    </row>
    <row r="2642" spans="1:28" x14ac:dyDescent="0.15">
      <c r="A2642" s="1">
        <v>6716</v>
      </c>
      <c r="J2642" s="1" t="s">
        <v>1332</v>
      </c>
      <c r="L2642" s="1" t="s">
        <v>900</v>
      </c>
      <c r="M2642" s="1" t="s">
        <v>1357</v>
      </c>
      <c r="N2642" s="1" t="s">
        <v>4279</v>
      </c>
      <c r="P2642" s="1" t="s">
        <v>4280</v>
      </c>
      <c r="Q2642" s="3">
        <v>0</v>
      </c>
      <c r="S2642" s="23" t="s">
        <v>5949</v>
      </c>
      <c r="W2642" s="45" t="str">
        <f>HYPERLINK("http://ictvonline.org/taxonomy/p/taxonomy-history?taxnode_id=201850573","ICTVonline=201850573")</f>
        <v>ICTVonline=201850573</v>
      </c>
      <c r="AA2642" s="1">
        <v>201850000</v>
      </c>
      <c r="AB2642" s="1">
        <v>34</v>
      </c>
    </row>
    <row r="2643" spans="1:28" x14ac:dyDescent="0.15">
      <c r="A2643" s="1">
        <v>6718</v>
      </c>
      <c r="J2643" s="1" t="s">
        <v>1332</v>
      </c>
      <c r="L2643" s="1" t="s">
        <v>900</v>
      </c>
      <c r="M2643" s="1" t="s">
        <v>1357</v>
      </c>
      <c r="N2643" s="1" t="s">
        <v>4279</v>
      </c>
      <c r="P2643" s="1" t="s">
        <v>4281</v>
      </c>
      <c r="Q2643" s="3">
        <v>0</v>
      </c>
      <c r="S2643" s="23" t="s">
        <v>5949</v>
      </c>
      <c r="W2643" s="45" t="str">
        <f>HYPERLINK("http://ictvonline.org/taxonomy/p/taxonomy-history?taxnode_id=201850574","ICTVonline=201850574")</f>
        <v>ICTVonline=201850574</v>
      </c>
      <c r="AA2643" s="1">
        <v>201850000</v>
      </c>
      <c r="AB2643" s="1">
        <v>34</v>
      </c>
    </row>
    <row r="2644" spans="1:28" x14ac:dyDescent="0.15">
      <c r="A2644" s="1">
        <v>6720</v>
      </c>
      <c r="J2644" s="1" t="s">
        <v>1332</v>
      </c>
      <c r="L2644" s="1" t="s">
        <v>900</v>
      </c>
      <c r="M2644" s="1" t="s">
        <v>1357</v>
      </c>
      <c r="N2644" s="1" t="s">
        <v>4279</v>
      </c>
      <c r="P2644" s="1" t="s">
        <v>4282</v>
      </c>
      <c r="Q2644" s="3">
        <v>1</v>
      </c>
      <c r="S2644" s="23" t="s">
        <v>5949</v>
      </c>
      <c r="W2644" s="45" t="str">
        <f>HYPERLINK("http://ictvonline.org/taxonomy/p/taxonomy-history?taxnode_id=201850575","ICTVonline=201850575")</f>
        <v>ICTVonline=201850575</v>
      </c>
      <c r="AA2644" s="1">
        <v>201850000</v>
      </c>
      <c r="AB2644" s="1">
        <v>34</v>
      </c>
    </row>
    <row r="2645" spans="1:28" x14ac:dyDescent="0.15">
      <c r="A2645" s="1">
        <v>6724</v>
      </c>
      <c r="J2645" s="1" t="s">
        <v>1332</v>
      </c>
      <c r="L2645" s="1" t="s">
        <v>900</v>
      </c>
      <c r="M2645" s="1" t="s">
        <v>1357</v>
      </c>
      <c r="N2645" s="1" t="s">
        <v>6425</v>
      </c>
      <c r="P2645" s="1" t="s">
        <v>4269</v>
      </c>
      <c r="Q2645" s="3">
        <v>0</v>
      </c>
      <c r="S2645" s="23" t="s">
        <v>5949</v>
      </c>
      <c r="T2645" s="23" t="s">
        <v>4931</v>
      </c>
      <c r="U2645" s="3">
        <v>34</v>
      </c>
      <c r="W2645" s="45" t="str">
        <f>HYPERLINK("http://ictvonline.org/taxonomy/p/taxonomy-history?taxnode_id=201850551","ICTVonline=201850551")</f>
        <v>ICTVonline=201850551</v>
      </c>
      <c r="AA2645" s="1">
        <v>201850000</v>
      </c>
      <c r="AB2645" s="1">
        <v>34</v>
      </c>
    </row>
    <row r="2646" spans="1:28" x14ac:dyDescent="0.15">
      <c r="A2646" s="1">
        <v>6726</v>
      </c>
      <c r="J2646" s="1" t="s">
        <v>1332</v>
      </c>
      <c r="L2646" s="1" t="s">
        <v>900</v>
      </c>
      <c r="M2646" s="1" t="s">
        <v>1357</v>
      </c>
      <c r="N2646" s="1" t="s">
        <v>6425</v>
      </c>
      <c r="P2646" s="1" t="s">
        <v>4270</v>
      </c>
      <c r="Q2646" s="3">
        <v>0</v>
      </c>
      <c r="S2646" s="23" t="s">
        <v>5949</v>
      </c>
      <c r="T2646" s="23" t="s">
        <v>4931</v>
      </c>
      <c r="U2646" s="3">
        <v>34</v>
      </c>
      <c r="W2646" s="45" t="str">
        <f>HYPERLINK("http://ictvonline.org/taxonomy/p/taxonomy-history?taxnode_id=201850552","ICTVonline=201850552")</f>
        <v>ICTVonline=201850552</v>
      </c>
      <c r="AA2646" s="1">
        <v>201850000</v>
      </c>
      <c r="AB2646" s="1">
        <v>34</v>
      </c>
    </row>
    <row r="2647" spans="1:28" x14ac:dyDescent="0.15">
      <c r="A2647" s="1">
        <v>6728</v>
      </c>
      <c r="J2647" s="1" t="s">
        <v>1332</v>
      </c>
      <c r="L2647" s="1" t="s">
        <v>900</v>
      </c>
      <c r="M2647" s="1" t="s">
        <v>1357</v>
      </c>
      <c r="N2647" s="1" t="s">
        <v>6425</v>
      </c>
      <c r="P2647" s="1" t="s">
        <v>4271</v>
      </c>
      <c r="Q2647" s="3">
        <v>0</v>
      </c>
      <c r="S2647" s="23" t="s">
        <v>5949</v>
      </c>
      <c r="T2647" s="23" t="s">
        <v>4931</v>
      </c>
      <c r="U2647" s="3">
        <v>34</v>
      </c>
      <c r="W2647" s="45" t="str">
        <f>HYPERLINK("http://ictvonline.org/taxonomy/p/taxonomy-history?taxnode_id=201850553","ICTVonline=201850553")</f>
        <v>ICTVonline=201850553</v>
      </c>
      <c r="AA2647" s="1">
        <v>201850000</v>
      </c>
      <c r="AB2647" s="1">
        <v>34</v>
      </c>
    </row>
    <row r="2648" spans="1:28" x14ac:dyDescent="0.15">
      <c r="A2648" s="1">
        <v>6730</v>
      </c>
      <c r="J2648" s="1" t="s">
        <v>1332</v>
      </c>
      <c r="L2648" s="1" t="s">
        <v>900</v>
      </c>
      <c r="M2648" s="1" t="s">
        <v>1357</v>
      </c>
      <c r="N2648" s="1" t="s">
        <v>6425</v>
      </c>
      <c r="P2648" s="1" t="s">
        <v>4272</v>
      </c>
      <c r="Q2648" s="3">
        <v>0</v>
      </c>
      <c r="S2648" s="23" t="s">
        <v>5949</v>
      </c>
      <c r="T2648" s="23" t="s">
        <v>4931</v>
      </c>
      <c r="U2648" s="3">
        <v>34</v>
      </c>
      <c r="W2648" s="45" t="str">
        <f>HYPERLINK("http://ictvonline.org/taxonomy/p/taxonomy-history?taxnode_id=201850554","ICTVonline=201850554")</f>
        <v>ICTVonline=201850554</v>
      </c>
      <c r="AA2648" s="1">
        <v>201850000</v>
      </c>
      <c r="AB2648" s="1">
        <v>34</v>
      </c>
    </row>
    <row r="2649" spans="1:28" x14ac:dyDescent="0.15">
      <c r="A2649" s="1">
        <v>6732</v>
      </c>
      <c r="J2649" s="1" t="s">
        <v>1332</v>
      </c>
      <c r="L2649" s="1" t="s">
        <v>900</v>
      </c>
      <c r="M2649" s="1" t="s">
        <v>1357</v>
      </c>
      <c r="N2649" s="1" t="s">
        <v>6425</v>
      </c>
      <c r="P2649" s="1" t="s">
        <v>4273</v>
      </c>
      <c r="Q2649" s="3">
        <v>1</v>
      </c>
      <c r="S2649" s="23" t="s">
        <v>5949</v>
      </c>
      <c r="T2649" s="23" t="s">
        <v>4931</v>
      </c>
      <c r="U2649" s="3">
        <v>34</v>
      </c>
      <c r="W2649" s="45" t="str">
        <f>HYPERLINK("http://ictvonline.org/taxonomy/p/taxonomy-history?taxnode_id=201850555","ICTVonline=201850555")</f>
        <v>ICTVonline=201850555</v>
      </c>
      <c r="AA2649" s="1">
        <v>201850000</v>
      </c>
      <c r="AB2649" s="1">
        <v>34</v>
      </c>
    </row>
    <row r="2650" spans="1:28" x14ac:dyDescent="0.15">
      <c r="A2650" s="1">
        <v>6734</v>
      </c>
      <c r="J2650" s="1" t="s">
        <v>1332</v>
      </c>
      <c r="L2650" s="1" t="s">
        <v>900</v>
      </c>
      <c r="M2650" s="1" t="s">
        <v>1357</v>
      </c>
      <c r="N2650" s="1" t="s">
        <v>6425</v>
      </c>
      <c r="P2650" s="1" t="s">
        <v>4274</v>
      </c>
      <c r="Q2650" s="3">
        <v>0</v>
      </c>
      <c r="S2650" s="23" t="s">
        <v>5949</v>
      </c>
      <c r="T2650" s="23" t="s">
        <v>4931</v>
      </c>
      <c r="U2650" s="3">
        <v>34</v>
      </c>
      <c r="W2650" s="45" t="str">
        <f>HYPERLINK("http://ictvonline.org/taxonomy/p/taxonomy-history?taxnode_id=201850556","ICTVonline=201850556")</f>
        <v>ICTVonline=201850556</v>
      </c>
      <c r="AA2650" s="1">
        <v>201850000</v>
      </c>
      <c r="AB2650" s="1">
        <v>34</v>
      </c>
    </row>
    <row r="2651" spans="1:28" x14ac:dyDescent="0.15">
      <c r="A2651" s="1">
        <v>6738</v>
      </c>
      <c r="J2651" s="1" t="s">
        <v>1332</v>
      </c>
      <c r="L2651" s="1" t="s">
        <v>900</v>
      </c>
      <c r="M2651" s="1" t="s">
        <v>1357</v>
      </c>
      <c r="N2651" s="1" t="s">
        <v>6426</v>
      </c>
      <c r="P2651" s="1" t="s">
        <v>2981</v>
      </c>
      <c r="Q2651" s="3">
        <v>1</v>
      </c>
      <c r="S2651" s="23" t="s">
        <v>5949</v>
      </c>
      <c r="T2651" s="23" t="s">
        <v>4931</v>
      </c>
      <c r="U2651" s="3">
        <v>34</v>
      </c>
      <c r="W2651" s="45" t="str">
        <f>HYPERLINK("http://ictvonline.org/taxonomy/p/taxonomy-history?taxnode_id=201850583","ICTVonline=201850583")</f>
        <v>ICTVonline=201850583</v>
      </c>
      <c r="AA2651" s="1">
        <v>201850000</v>
      </c>
      <c r="AB2651" s="1">
        <v>34</v>
      </c>
    </row>
    <row r="2652" spans="1:28" x14ac:dyDescent="0.15">
      <c r="A2652" s="1">
        <v>6740</v>
      </c>
      <c r="J2652" s="1" t="s">
        <v>1332</v>
      </c>
      <c r="L2652" s="1" t="s">
        <v>900</v>
      </c>
      <c r="M2652" s="1" t="s">
        <v>1357</v>
      </c>
      <c r="N2652" s="1" t="s">
        <v>6426</v>
      </c>
      <c r="P2652" s="1" t="s">
        <v>2982</v>
      </c>
      <c r="Q2652" s="3">
        <v>0</v>
      </c>
      <c r="S2652" s="23" t="s">
        <v>5949</v>
      </c>
      <c r="T2652" s="23" t="s">
        <v>4931</v>
      </c>
      <c r="U2652" s="3">
        <v>34</v>
      </c>
      <c r="W2652" s="45" t="str">
        <f>HYPERLINK("http://ictvonline.org/taxonomy/p/taxonomy-history?taxnode_id=201850584","ICTVonline=201850584")</f>
        <v>ICTVonline=201850584</v>
      </c>
      <c r="AA2652" s="1">
        <v>201850000</v>
      </c>
      <c r="AB2652" s="1">
        <v>34</v>
      </c>
    </row>
    <row r="2653" spans="1:28" x14ac:dyDescent="0.15">
      <c r="A2653" s="1">
        <v>6742</v>
      </c>
      <c r="J2653" s="1" t="s">
        <v>1332</v>
      </c>
      <c r="L2653" s="1" t="s">
        <v>900</v>
      </c>
      <c r="M2653" s="1" t="s">
        <v>1357</v>
      </c>
      <c r="N2653" s="1" t="s">
        <v>6426</v>
      </c>
      <c r="P2653" s="1" t="s">
        <v>2983</v>
      </c>
      <c r="Q2653" s="3">
        <v>0</v>
      </c>
      <c r="S2653" s="23" t="s">
        <v>5949</v>
      </c>
      <c r="T2653" s="23" t="s">
        <v>4931</v>
      </c>
      <c r="U2653" s="3">
        <v>34</v>
      </c>
      <c r="W2653" s="45" t="str">
        <f>HYPERLINK("http://ictvonline.org/taxonomy/p/taxonomy-history?taxnode_id=201850585","ICTVonline=201850585")</f>
        <v>ICTVonline=201850585</v>
      </c>
      <c r="AA2653" s="1">
        <v>201850000</v>
      </c>
      <c r="AB2653" s="1">
        <v>34</v>
      </c>
    </row>
    <row r="2654" spans="1:28" x14ac:dyDescent="0.15">
      <c r="A2654" s="1">
        <v>6746</v>
      </c>
      <c r="J2654" s="1" t="s">
        <v>1332</v>
      </c>
      <c r="L2654" s="1" t="s">
        <v>900</v>
      </c>
      <c r="M2654" s="1" t="s">
        <v>1357</v>
      </c>
      <c r="N2654" s="1" t="s">
        <v>6427</v>
      </c>
      <c r="P2654" s="1" t="s">
        <v>2976</v>
      </c>
      <c r="Q2654" s="3">
        <v>0</v>
      </c>
      <c r="S2654" s="23" t="s">
        <v>5949</v>
      </c>
      <c r="T2654" s="23" t="s">
        <v>4931</v>
      </c>
      <c r="U2654" s="3">
        <v>34</v>
      </c>
      <c r="W2654" s="45" t="str">
        <f>HYPERLINK("http://ictvonline.org/taxonomy/p/taxonomy-history?taxnode_id=201850577","ICTVonline=201850577")</f>
        <v>ICTVonline=201850577</v>
      </c>
      <c r="AA2654" s="1">
        <v>201850000</v>
      </c>
      <c r="AB2654" s="1">
        <v>34</v>
      </c>
    </row>
    <row r="2655" spans="1:28" x14ac:dyDescent="0.15">
      <c r="A2655" s="1">
        <v>6748</v>
      </c>
      <c r="J2655" s="1" t="s">
        <v>1332</v>
      </c>
      <c r="L2655" s="1" t="s">
        <v>900</v>
      </c>
      <c r="M2655" s="1" t="s">
        <v>1357</v>
      </c>
      <c r="N2655" s="1" t="s">
        <v>6427</v>
      </c>
      <c r="P2655" s="1" t="s">
        <v>2977</v>
      </c>
      <c r="Q2655" s="3">
        <v>0</v>
      </c>
      <c r="S2655" s="23" t="s">
        <v>5949</v>
      </c>
      <c r="T2655" s="23" t="s">
        <v>4931</v>
      </c>
      <c r="U2655" s="3">
        <v>34</v>
      </c>
      <c r="W2655" s="45" t="str">
        <f>HYPERLINK("http://ictvonline.org/taxonomy/p/taxonomy-history?taxnode_id=201850578","ICTVonline=201850578")</f>
        <v>ICTVonline=201850578</v>
      </c>
      <c r="AA2655" s="1">
        <v>201850000</v>
      </c>
      <c r="AB2655" s="1">
        <v>34</v>
      </c>
    </row>
    <row r="2656" spans="1:28" x14ac:dyDescent="0.15">
      <c r="A2656" s="1">
        <v>6750</v>
      </c>
      <c r="J2656" s="1" t="s">
        <v>1332</v>
      </c>
      <c r="L2656" s="1" t="s">
        <v>900</v>
      </c>
      <c r="M2656" s="1" t="s">
        <v>1357</v>
      </c>
      <c r="N2656" s="1" t="s">
        <v>6427</v>
      </c>
      <c r="P2656" s="1" t="s">
        <v>2978</v>
      </c>
      <c r="Q2656" s="3">
        <v>0</v>
      </c>
      <c r="S2656" s="23" t="s">
        <v>5949</v>
      </c>
      <c r="T2656" s="23" t="s">
        <v>4931</v>
      </c>
      <c r="U2656" s="3">
        <v>34</v>
      </c>
      <c r="W2656" s="45" t="str">
        <f>HYPERLINK("http://ictvonline.org/taxonomy/p/taxonomy-history?taxnode_id=201850579","ICTVonline=201850579")</f>
        <v>ICTVonline=201850579</v>
      </c>
      <c r="AA2656" s="1">
        <v>201850000</v>
      </c>
      <c r="AB2656" s="1">
        <v>34</v>
      </c>
    </row>
    <row r="2657" spans="1:28" x14ac:dyDescent="0.15">
      <c r="A2657" s="1">
        <v>6752</v>
      </c>
      <c r="J2657" s="1" t="s">
        <v>1332</v>
      </c>
      <c r="L2657" s="1" t="s">
        <v>900</v>
      </c>
      <c r="M2657" s="1" t="s">
        <v>1357</v>
      </c>
      <c r="N2657" s="1" t="s">
        <v>6427</v>
      </c>
      <c r="P2657" s="1" t="s">
        <v>2979</v>
      </c>
      <c r="Q2657" s="3">
        <v>0</v>
      </c>
      <c r="S2657" s="23" t="s">
        <v>5949</v>
      </c>
      <c r="T2657" s="23" t="s">
        <v>4931</v>
      </c>
      <c r="U2657" s="3">
        <v>34</v>
      </c>
      <c r="W2657" s="45" t="str">
        <f>HYPERLINK("http://ictvonline.org/taxonomy/p/taxonomy-history?taxnode_id=201850580","ICTVonline=201850580")</f>
        <v>ICTVonline=201850580</v>
      </c>
      <c r="AA2657" s="1">
        <v>201850000</v>
      </c>
      <c r="AB2657" s="1">
        <v>34</v>
      </c>
    </row>
    <row r="2658" spans="1:28" x14ac:dyDescent="0.15">
      <c r="A2658" s="1">
        <v>6754</v>
      </c>
      <c r="J2658" s="1" t="s">
        <v>1332</v>
      </c>
      <c r="L2658" s="1" t="s">
        <v>900</v>
      </c>
      <c r="M2658" s="1" t="s">
        <v>1357</v>
      </c>
      <c r="N2658" s="1" t="s">
        <v>6427</v>
      </c>
      <c r="P2658" s="1" t="s">
        <v>2980</v>
      </c>
      <c r="Q2658" s="3">
        <v>1</v>
      </c>
      <c r="S2658" s="23" t="s">
        <v>5949</v>
      </c>
      <c r="T2658" s="23" t="s">
        <v>4931</v>
      </c>
      <c r="U2658" s="3">
        <v>34</v>
      </c>
      <c r="W2658" s="45" t="str">
        <f>HYPERLINK("http://ictvonline.org/taxonomy/p/taxonomy-history?taxnode_id=201850581","ICTVonline=201850581")</f>
        <v>ICTVonline=201850581</v>
      </c>
      <c r="AA2658" s="1">
        <v>201850000</v>
      </c>
      <c r="AB2658" s="1">
        <v>34</v>
      </c>
    </row>
    <row r="2659" spans="1:28" x14ac:dyDescent="0.15">
      <c r="A2659" s="1">
        <v>6757</v>
      </c>
      <c r="J2659" s="1" t="s">
        <v>1332</v>
      </c>
      <c r="L2659" s="1" t="s">
        <v>900</v>
      </c>
      <c r="M2659" s="1" t="s">
        <v>1357</v>
      </c>
      <c r="P2659" s="1" t="s">
        <v>2984</v>
      </c>
      <c r="Q2659" s="3">
        <v>0</v>
      </c>
      <c r="S2659" s="23" t="s">
        <v>5949</v>
      </c>
      <c r="W2659" s="45" t="str">
        <f>HYPERLINK("http://ictvonline.org/taxonomy/p/taxonomy-history?taxnode_id=201850587","ICTVonline=201850587")</f>
        <v>ICTVonline=201850587</v>
      </c>
      <c r="AA2659" s="1">
        <v>201850000</v>
      </c>
      <c r="AB2659" s="1">
        <v>34</v>
      </c>
    </row>
    <row r="2660" spans="1:28" x14ac:dyDescent="0.15">
      <c r="A2660" s="1">
        <v>6759</v>
      </c>
      <c r="J2660" s="1" t="s">
        <v>1332</v>
      </c>
      <c r="L2660" s="1" t="s">
        <v>900</v>
      </c>
      <c r="M2660" s="1" t="s">
        <v>1357</v>
      </c>
      <c r="P2660" s="1" t="s">
        <v>2985</v>
      </c>
      <c r="Q2660" s="3">
        <v>0</v>
      </c>
      <c r="S2660" s="23" t="s">
        <v>5949</v>
      </c>
      <c r="W2660" s="45" t="str">
        <f>HYPERLINK("http://ictvonline.org/taxonomy/p/taxonomy-history?taxnode_id=201850588","ICTVonline=201850588")</f>
        <v>ICTVonline=201850588</v>
      </c>
      <c r="AA2660" s="1">
        <v>201850000</v>
      </c>
      <c r="AB2660" s="1">
        <v>34</v>
      </c>
    </row>
    <row r="2661" spans="1:28" x14ac:dyDescent="0.15">
      <c r="A2661" s="1">
        <v>6761</v>
      </c>
      <c r="J2661" s="1" t="s">
        <v>1332</v>
      </c>
      <c r="L2661" s="1" t="s">
        <v>900</v>
      </c>
      <c r="M2661" s="1" t="s">
        <v>1357</v>
      </c>
      <c r="P2661" s="1" t="s">
        <v>2986</v>
      </c>
      <c r="Q2661" s="3">
        <v>0</v>
      </c>
      <c r="S2661" s="23" t="s">
        <v>5949</v>
      </c>
      <c r="W2661" s="45" t="str">
        <f>HYPERLINK("http://ictvonline.org/taxonomy/p/taxonomy-history?taxnode_id=201850589","ICTVonline=201850589")</f>
        <v>ICTVonline=201850589</v>
      </c>
      <c r="AA2661" s="1">
        <v>201850000</v>
      </c>
      <c r="AB2661" s="1">
        <v>34</v>
      </c>
    </row>
    <row r="2662" spans="1:28" x14ac:dyDescent="0.15">
      <c r="A2662" s="1">
        <v>6766</v>
      </c>
      <c r="J2662" s="1" t="s">
        <v>1332</v>
      </c>
      <c r="L2662" s="1" t="s">
        <v>900</v>
      </c>
      <c r="M2662" s="1" t="s">
        <v>662</v>
      </c>
      <c r="N2662" s="1" t="s">
        <v>6428</v>
      </c>
      <c r="P2662" s="1" t="s">
        <v>2995</v>
      </c>
      <c r="Q2662" s="3">
        <v>1</v>
      </c>
      <c r="S2662" s="23" t="s">
        <v>5949</v>
      </c>
      <c r="T2662" s="23" t="s">
        <v>4931</v>
      </c>
      <c r="U2662" s="3">
        <v>34</v>
      </c>
      <c r="W2662" s="45" t="str">
        <f>HYPERLINK("http://ictvonline.org/taxonomy/p/taxonomy-history?taxnode_id=201850592","ICTVonline=201850592")</f>
        <v>ICTVonline=201850592</v>
      </c>
      <c r="AA2662" s="1">
        <v>201850000</v>
      </c>
      <c r="AB2662" s="1">
        <v>34</v>
      </c>
    </row>
    <row r="2663" spans="1:28" x14ac:dyDescent="0.15">
      <c r="A2663" s="1">
        <v>6768</v>
      </c>
      <c r="J2663" s="1" t="s">
        <v>1332</v>
      </c>
      <c r="L2663" s="1" t="s">
        <v>900</v>
      </c>
      <c r="M2663" s="1" t="s">
        <v>662</v>
      </c>
      <c r="N2663" s="1" t="s">
        <v>6428</v>
      </c>
      <c r="P2663" s="1" t="s">
        <v>4283</v>
      </c>
      <c r="Q2663" s="3">
        <v>0</v>
      </c>
      <c r="S2663" s="23" t="s">
        <v>5949</v>
      </c>
      <c r="T2663" s="23" t="s">
        <v>4931</v>
      </c>
      <c r="U2663" s="3">
        <v>34</v>
      </c>
      <c r="W2663" s="45" t="str">
        <f>HYPERLINK("http://ictvonline.org/taxonomy/p/taxonomy-history?taxnode_id=201850593","ICTVonline=201850593")</f>
        <v>ICTVonline=201850593</v>
      </c>
      <c r="AA2663" s="1">
        <v>201850000</v>
      </c>
      <c r="AB2663" s="1">
        <v>34</v>
      </c>
    </row>
    <row r="2664" spans="1:28" x14ac:dyDescent="0.15">
      <c r="A2664" s="1">
        <v>6772</v>
      </c>
      <c r="J2664" s="1" t="s">
        <v>1332</v>
      </c>
      <c r="L2664" s="1" t="s">
        <v>900</v>
      </c>
      <c r="M2664" s="1" t="s">
        <v>662</v>
      </c>
      <c r="N2664" s="1" t="s">
        <v>6429</v>
      </c>
      <c r="P2664" s="1" t="s">
        <v>6430</v>
      </c>
      <c r="Q2664" s="3">
        <v>1</v>
      </c>
      <c r="S2664" s="23" t="s">
        <v>5949</v>
      </c>
      <c r="T2664" s="23" t="s">
        <v>4929</v>
      </c>
      <c r="U2664" s="3">
        <v>34</v>
      </c>
      <c r="V2664" s="3" t="s">
        <v>6431</v>
      </c>
      <c r="W2664" s="45" t="str">
        <f>HYPERLINK("http://ictvonline.org/taxonomy/p/taxonomy-history?taxnode_id=201856293","ICTVonline=201856293")</f>
        <v>ICTVonline=201856293</v>
      </c>
      <c r="AA2664" s="1">
        <v>201850000</v>
      </c>
      <c r="AB2664" s="1">
        <v>34</v>
      </c>
    </row>
    <row r="2665" spans="1:28" x14ac:dyDescent="0.15">
      <c r="A2665" s="1">
        <v>6776</v>
      </c>
      <c r="J2665" s="1" t="s">
        <v>1332</v>
      </c>
      <c r="L2665" s="1" t="s">
        <v>900</v>
      </c>
      <c r="M2665" s="1" t="s">
        <v>662</v>
      </c>
      <c r="N2665" s="1" t="s">
        <v>6432</v>
      </c>
      <c r="P2665" s="1" t="s">
        <v>2987</v>
      </c>
      <c r="Q2665" s="3">
        <v>1</v>
      </c>
      <c r="S2665" s="23" t="s">
        <v>5949</v>
      </c>
      <c r="T2665" s="23" t="s">
        <v>4931</v>
      </c>
      <c r="U2665" s="3">
        <v>34</v>
      </c>
      <c r="W2665" s="45" t="str">
        <f>HYPERLINK("http://ictvonline.org/taxonomy/p/taxonomy-history?taxnode_id=201850595","ICTVonline=201850595")</f>
        <v>ICTVonline=201850595</v>
      </c>
      <c r="AA2665" s="1">
        <v>201850000</v>
      </c>
      <c r="AB2665" s="1">
        <v>34</v>
      </c>
    </row>
    <row r="2666" spans="1:28" x14ac:dyDescent="0.15">
      <c r="A2666" s="1">
        <v>6778</v>
      </c>
      <c r="J2666" s="1" t="s">
        <v>1332</v>
      </c>
      <c r="L2666" s="1" t="s">
        <v>900</v>
      </c>
      <c r="M2666" s="1" t="s">
        <v>662</v>
      </c>
      <c r="N2666" s="1" t="s">
        <v>6432</v>
      </c>
      <c r="P2666" s="1" t="s">
        <v>2988</v>
      </c>
      <c r="Q2666" s="3">
        <v>0</v>
      </c>
      <c r="S2666" s="23" t="s">
        <v>5949</v>
      </c>
      <c r="T2666" s="23" t="s">
        <v>4931</v>
      </c>
      <c r="U2666" s="3">
        <v>34</v>
      </c>
      <c r="W2666" s="45" t="str">
        <f>HYPERLINK("http://ictvonline.org/taxonomy/p/taxonomy-history?taxnode_id=201850596","ICTVonline=201850596")</f>
        <v>ICTVonline=201850596</v>
      </c>
      <c r="AA2666" s="1">
        <v>201850000</v>
      </c>
      <c r="AB2666" s="1">
        <v>34</v>
      </c>
    </row>
    <row r="2667" spans="1:28" x14ac:dyDescent="0.15">
      <c r="A2667" s="1">
        <v>6782</v>
      </c>
      <c r="J2667" s="1" t="s">
        <v>1332</v>
      </c>
      <c r="L2667" s="1" t="s">
        <v>900</v>
      </c>
      <c r="M2667" s="1" t="s">
        <v>662</v>
      </c>
      <c r="N2667" s="1" t="s">
        <v>6433</v>
      </c>
      <c r="P2667" s="1" t="s">
        <v>2989</v>
      </c>
      <c r="Q2667" s="3">
        <v>0</v>
      </c>
      <c r="S2667" s="23" t="s">
        <v>5949</v>
      </c>
      <c r="T2667" s="23" t="s">
        <v>4931</v>
      </c>
      <c r="U2667" s="3">
        <v>34</v>
      </c>
      <c r="W2667" s="45" t="str">
        <f>HYPERLINK("http://ictvonline.org/taxonomy/p/taxonomy-history?taxnode_id=201850598","ICTVonline=201850598")</f>
        <v>ICTVonline=201850598</v>
      </c>
      <c r="AA2667" s="1">
        <v>201850000</v>
      </c>
      <c r="AB2667" s="1">
        <v>34</v>
      </c>
    </row>
    <row r="2668" spans="1:28" x14ac:dyDescent="0.15">
      <c r="A2668" s="1">
        <v>6784</v>
      </c>
      <c r="J2668" s="1" t="s">
        <v>1332</v>
      </c>
      <c r="L2668" s="1" t="s">
        <v>900</v>
      </c>
      <c r="M2668" s="1" t="s">
        <v>662</v>
      </c>
      <c r="N2668" s="1" t="s">
        <v>6433</v>
      </c>
      <c r="P2668" s="1" t="s">
        <v>2990</v>
      </c>
      <c r="Q2668" s="3">
        <v>0</v>
      </c>
      <c r="S2668" s="23" t="s">
        <v>5949</v>
      </c>
      <c r="T2668" s="23" t="s">
        <v>4931</v>
      </c>
      <c r="U2668" s="3">
        <v>34</v>
      </c>
      <c r="W2668" s="45" t="str">
        <f>HYPERLINK("http://ictvonline.org/taxonomy/p/taxonomy-history?taxnode_id=201850599","ICTVonline=201850599")</f>
        <v>ICTVonline=201850599</v>
      </c>
      <c r="AA2668" s="1">
        <v>201850000</v>
      </c>
      <c r="AB2668" s="1">
        <v>34</v>
      </c>
    </row>
    <row r="2669" spans="1:28" x14ac:dyDescent="0.15">
      <c r="A2669" s="1">
        <v>6786</v>
      </c>
      <c r="J2669" s="1" t="s">
        <v>1332</v>
      </c>
      <c r="L2669" s="1" t="s">
        <v>900</v>
      </c>
      <c r="M2669" s="1" t="s">
        <v>662</v>
      </c>
      <c r="N2669" s="1" t="s">
        <v>6433</v>
      </c>
      <c r="P2669" s="1" t="s">
        <v>2991</v>
      </c>
      <c r="Q2669" s="3">
        <v>1</v>
      </c>
      <c r="S2669" s="23" t="s">
        <v>5949</v>
      </c>
      <c r="T2669" s="23" t="s">
        <v>4931</v>
      </c>
      <c r="U2669" s="3">
        <v>34</v>
      </c>
      <c r="W2669" s="45" t="str">
        <f>HYPERLINK("http://ictvonline.org/taxonomy/p/taxonomy-history?taxnode_id=201850600","ICTVonline=201850600")</f>
        <v>ICTVonline=201850600</v>
      </c>
      <c r="AA2669" s="1">
        <v>201850000</v>
      </c>
      <c r="AB2669" s="1">
        <v>34</v>
      </c>
    </row>
    <row r="2670" spans="1:28" x14ac:dyDescent="0.15">
      <c r="A2670" s="1">
        <v>6788</v>
      </c>
      <c r="J2670" s="1" t="s">
        <v>1332</v>
      </c>
      <c r="L2670" s="1" t="s">
        <v>900</v>
      </c>
      <c r="M2670" s="1" t="s">
        <v>662</v>
      </c>
      <c r="N2670" s="1" t="s">
        <v>6433</v>
      </c>
      <c r="P2670" s="1" t="s">
        <v>2992</v>
      </c>
      <c r="Q2670" s="3">
        <v>0</v>
      </c>
      <c r="S2670" s="23" t="s">
        <v>5949</v>
      </c>
      <c r="T2670" s="23" t="s">
        <v>4931</v>
      </c>
      <c r="U2670" s="3">
        <v>34</v>
      </c>
      <c r="W2670" s="45" t="str">
        <f>HYPERLINK("http://ictvonline.org/taxonomy/p/taxonomy-history?taxnode_id=201850601","ICTVonline=201850601")</f>
        <v>ICTVonline=201850601</v>
      </c>
      <c r="AA2670" s="1">
        <v>201850000</v>
      </c>
      <c r="AB2670" s="1">
        <v>34</v>
      </c>
    </row>
    <row r="2671" spans="1:28" x14ac:dyDescent="0.15">
      <c r="A2671" s="1">
        <v>6791</v>
      </c>
      <c r="J2671" s="1" t="s">
        <v>1332</v>
      </c>
      <c r="L2671" s="1" t="s">
        <v>900</v>
      </c>
      <c r="M2671" s="1" t="s">
        <v>662</v>
      </c>
      <c r="P2671" s="1" t="s">
        <v>2993</v>
      </c>
      <c r="Q2671" s="3">
        <v>0</v>
      </c>
      <c r="S2671" s="23" t="s">
        <v>5949</v>
      </c>
      <c r="W2671" s="45" t="str">
        <f>HYPERLINK("http://ictvonline.org/taxonomy/p/taxonomy-history?taxnode_id=201850603","ICTVonline=201850603")</f>
        <v>ICTVonline=201850603</v>
      </c>
      <c r="AA2671" s="1">
        <v>201850000</v>
      </c>
      <c r="AB2671" s="1">
        <v>34</v>
      </c>
    </row>
    <row r="2672" spans="1:28" x14ac:dyDescent="0.15">
      <c r="A2672" s="1">
        <v>6793</v>
      </c>
      <c r="J2672" s="1" t="s">
        <v>1332</v>
      </c>
      <c r="L2672" s="1" t="s">
        <v>900</v>
      </c>
      <c r="M2672" s="1" t="s">
        <v>662</v>
      </c>
      <c r="P2672" s="1" t="s">
        <v>2994</v>
      </c>
      <c r="Q2672" s="3">
        <v>0</v>
      </c>
      <c r="S2672" s="23" t="s">
        <v>5949</v>
      </c>
      <c r="W2672" s="45" t="str">
        <f>HYPERLINK("http://ictvonline.org/taxonomy/p/taxonomy-history?taxnode_id=201850604","ICTVonline=201850604")</f>
        <v>ICTVonline=201850604</v>
      </c>
      <c r="AA2672" s="1">
        <v>201850000</v>
      </c>
      <c r="AB2672" s="1">
        <v>34</v>
      </c>
    </row>
    <row r="2673" spans="1:28" x14ac:dyDescent="0.15">
      <c r="A2673" s="1">
        <v>6798</v>
      </c>
      <c r="J2673" s="1" t="s">
        <v>1332</v>
      </c>
      <c r="L2673" s="1" t="s">
        <v>900</v>
      </c>
      <c r="M2673" s="1" t="s">
        <v>4284</v>
      </c>
      <c r="N2673" s="1" t="s">
        <v>6434</v>
      </c>
      <c r="P2673" s="1" t="s">
        <v>4290</v>
      </c>
      <c r="Q2673" s="3">
        <v>0</v>
      </c>
      <c r="S2673" s="23" t="s">
        <v>5949</v>
      </c>
      <c r="T2673" s="23" t="s">
        <v>4931</v>
      </c>
      <c r="U2673" s="3">
        <v>34</v>
      </c>
      <c r="W2673" s="45" t="str">
        <f>HYPERLINK("http://ictvonline.org/taxonomy/p/taxonomy-history?taxnode_id=201850613","ICTVonline=201850613")</f>
        <v>ICTVonline=201850613</v>
      </c>
      <c r="AA2673" s="1">
        <v>201850000</v>
      </c>
      <c r="AB2673" s="1">
        <v>34</v>
      </c>
    </row>
    <row r="2674" spans="1:28" x14ac:dyDescent="0.15">
      <c r="A2674" s="1">
        <v>6800</v>
      </c>
      <c r="J2674" s="1" t="s">
        <v>1332</v>
      </c>
      <c r="L2674" s="1" t="s">
        <v>900</v>
      </c>
      <c r="M2674" s="1" t="s">
        <v>4284</v>
      </c>
      <c r="N2674" s="1" t="s">
        <v>6434</v>
      </c>
      <c r="P2674" s="1" t="s">
        <v>4291</v>
      </c>
      <c r="Q2674" s="3">
        <v>1</v>
      </c>
      <c r="S2674" s="23" t="s">
        <v>5949</v>
      </c>
      <c r="T2674" s="23" t="s">
        <v>4931</v>
      </c>
      <c r="U2674" s="3">
        <v>34</v>
      </c>
      <c r="W2674" s="45" t="str">
        <f>HYPERLINK("http://ictvonline.org/taxonomy/p/taxonomy-history?taxnode_id=201850614","ICTVonline=201850614")</f>
        <v>ICTVonline=201850614</v>
      </c>
      <c r="AA2674" s="1">
        <v>201850000</v>
      </c>
      <c r="AB2674" s="1">
        <v>34</v>
      </c>
    </row>
    <row r="2675" spans="1:28" x14ac:dyDescent="0.15">
      <c r="A2675" s="1">
        <v>6804</v>
      </c>
      <c r="J2675" s="1" t="s">
        <v>1332</v>
      </c>
      <c r="L2675" s="1" t="s">
        <v>900</v>
      </c>
      <c r="M2675" s="1" t="s">
        <v>4284</v>
      </c>
      <c r="N2675" s="1" t="s">
        <v>6435</v>
      </c>
      <c r="P2675" s="1" t="s">
        <v>4292</v>
      </c>
      <c r="Q2675" s="3">
        <v>0</v>
      </c>
      <c r="S2675" s="23" t="s">
        <v>5949</v>
      </c>
      <c r="T2675" s="23" t="s">
        <v>4931</v>
      </c>
      <c r="U2675" s="3">
        <v>34</v>
      </c>
      <c r="W2675" s="45" t="str">
        <f>HYPERLINK("http://ictvonline.org/taxonomy/p/taxonomy-history?taxnode_id=201850616","ICTVonline=201850616")</f>
        <v>ICTVonline=201850616</v>
      </c>
      <c r="AA2675" s="1">
        <v>201850000</v>
      </c>
      <c r="AB2675" s="1">
        <v>34</v>
      </c>
    </row>
    <row r="2676" spans="1:28" x14ac:dyDescent="0.15">
      <c r="A2676" s="1">
        <v>6806</v>
      </c>
      <c r="J2676" s="1" t="s">
        <v>1332</v>
      </c>
      <c r="L2676" s="1" t="s">
        <v>900</v>
      </c>
      <c r="M2676" s="1" t="s">
        <v>4284</v>
      </c>
      <c r="N2676" s="1" t="s">
        <v>6435</v>
      </c>
      <c r="P2676" s="1" t="s">
        <v>4293</v>
      </c>
      <c r="Q2676" s="3">
        <v>0</v>
      </c>
      <c r="S2676" s="23" t="s">
        <v>5949</v>
      </c>
      <c r="T2676" s="23" t="s">
        <v>4931</v>
      </c>
      <c r="U2676" s="3">
        <v>34</v>
      </c>
      <c r="W2676" s="45" t="str">
        <f>HYPERLINK("http://ictvonline.org/taxonomy/p/taxonomy-history?taxnode_id=201850617","ICTVonline=201850617")</f>
        <v>ICTVonline=201850617</v>
      </c>
      <c r="AA2676" s="1">
        <v>201850000</v>
      </c>
      <c r="AB2676" s="1">
        <v>34</v>
      </c>
    </row>
    <row r="2677" spans="1:28" x14ac:dyDescent="0.15">
      <c r="A2677" s="1">
        <v>6808</v>
      </c>
      <c r="J2677" s="1" t="s">
        <v>1332</v>
      </c>
      <c r="L2677" s="1" t="s">
        <v>900</v>
      </c>
      <c r="M2677" s="1" t="s">
        <v>4284</v>
      </c>
      <c r="N2677" s="1" t="s">
        <v>6435</v>
      </c>
      <c r="P2677" s="1" t="s">
        <v>4294</v>
      </c>
      <c r="Q2677" s="3">
        <v>1</v>
      </c>
      <c r="S2677" s="23" t="s">
        <v>5949</v>
      </c>
      <c r="T2677" s="23" t="s">
        <v>4931</v>
      </c>
      <c r="U2677" s="3">
        <v>34</v>
      </c>
      <c r="W2677" s="45" t="str">
        <f>HYPERLINK("http://ictvonline.org/taxonomy/p/taxonomy-history?taxnode_id=201850618","ICTVonline=201850618")</f>
        <v>ICTVonline=201850618</v>
      </c>
      <c r="AA2677" s="1">
        <v>201850000</v>
      </c>
      <c r="AB2677" s="1">
        <v>34</v>
      </c>
    </row>
    <row r="2678" spans="1:28" x14ac:dyDescent="0.15">
      <c r="A2678" s="1">
        <v>6810</v>
      </c>
      <c r="J2678" s="1" t="s">
        <v>1332</v>
      </c>
      <c r="L2678" s="1" t="s">
        <v>900</v>
      </c>
      <c r="M2678" s="1" t="s">
        <v>4284</v>
      </c>
      <c r="N2678" s="1" t="s">
        <v>6435</v>
      </c>
      <c r="P2678" s="1" t="s">
        <v>4295</v>
      </c>
      <c r="Q2678" s="3">
        <v>0</v>
      </c>
      <c r="S2678" s="23" t="s">
        <v>5949</v>
      </c>
      <c r="T2678" s="23" t="s">
        <v>4931</v>
      </c>
      <c r="U2678" s="3">
        <v>34</v>
      </c>
      <c r="W2678" s="45" t="str">
        <f>HYPERLINK("http://ictvonline.org/taxonomy/p/taxonomy-history?taxnode_id=201850619","ICTVonline=201850619")</f>
        <v>ICTVonline=201850619</v>
      </c>
      <c r="AA2678" s="1">
        <v>201850000</v>
      </c>
      <c r="AB2678" s="1">
        <v>34</v>
      </c>
    </row>
    <row r="2679" spans="1:28" x14ac:dyDescent="0.15">
      <c r="A2679" s="1">
        <v>6814</v>
      </c>
      <c r="J2679" s="1" t="s">
        <v>1332</v>
      </c>
      <c r="L2679" s="1" t="s">
        <v>900</v>
      </c>
      <c r="M2679" s="1" t="s">
        <v>4284</v>
      </c>
      <c r="N2679" s="1" t="s">
        <v>6436</v>
      </c>
      <c r="P2679" s="1" t="s">
        <v>4285</v>
      </c>
      <c r="Q2679" s="3">
        <v>0</v>
      </c>
      <c r="S2679" s="23" t="s">
        <v>5949</v>
      </c>
      <c r="T2679" s="23" t="s">
        <v>4931</v>
      </c>
      <c r="U2679" s="3">
        <v>34</v>
      </c>
      <c r="W2679" s="45" t="str">
        <f>HYPERLINK("http://ictvonline.org/taxonomy/p/taxonomy-history?taxnode_id=201850607","ICTVonline=201850607")</f>
        <v>ICTVonline=201850607</v>
      </c>
      <c r="AA2679" s="1">
        <v>201850000</v>
      </c>
      <c r="AB2679" s="1">
        <v>34</v>
      </c>
    </row>
    <row r="2680" spans="1:28" x14ac:dyDescent="0.15">
      <c r="A2680" s="1">
        <v>6816</v>
      </c>
      <c r="J2680" s="1" t="s">
        <v>1332</v>
      </c>
      <c r="L2680" s="1" t="s">
        <v>900</v>
      </c>
      <c r="M2680" s="1" t="s">
        <v>4284</v>
      </c>
      <c r="N2680" s="1" t="s">
        <v>6436</v>
      </c>
      <c r="P2680" s="1" t="s">
        <v>4286</v>
      </c>
      <c r="Q2680" s="3">
        <v>1</v>
      </c>
      <c r="S2680" s="23" t="s">
        <v>5949</v>
      </c>
      <c r="T2680" s="23" t="s">
        <v>4931</v>
      </c>
      <c r="U2680" s="3">
        <v>34</v>
      </c>
      <c r="W2680" s="45" t="str">
        <f>HYPERLINK("http://ictvonline.org/taxonomy/p/taxonomy-history?taxnode_id=201850608","ICTVonline=201850608")</f>
        <v>ICTVonline=201850608</v>
      </c>
      <c r="AA2680" s="1">
        <v>201850000</v>
      </c>
      <c r="AB2680" s="1">
        <v>34</v>
      </c>
    </row>
    <row r="2681" spans="1:28" x14ac:dyDescent="0.15">
      <c r="A2681" s="1">
        <v>6818</v>
      </c>
      <c r="J2681" s="1" t="s">
        <v>1332</v>
      </c>
      <c r="L2681" s="1" t="s">
        <v>900</v>
      </c>
      <c r="M2681" s="1" t="s">
        <v>4284</v>
      </c>
      <c r="N2681" s="1" t="s">
        <v>6436</v>
      </c>
      <c r="P2681" s="1" t="s">
        <v>4287</v>
      </c>
      <c r="Q2681" s="3">
        <v>0</v>
      </c>
      <c r="S2681" s="23" t="s">
        <v>5949</v>
      </c>
      <c r="T2681" s="23" t="s">
        <v>4931</v>
      </c>
      <c r="U2681" s="3">
        <v>34</v>
      </c>
      <c r="W2681" s="45" t="str">
        <f>HYPERLINK("http://ictvonline.org/taxonomy/p/taxonomy-history?taxnode_id=201850609","ICTVonline=201850609")</f>
        <v>ICTVonline=201850609</v>
      </c>
      <c r="AA2681" s="1">
        <v>201850000</v>
      </c>
      <c r="AB2681" s="1">
        <v>34</v>
      </c>
    </row>
    <row r="2682" spans="1:28" x14ac:dyDescent="0.15">
      <c r="A2682" s="1">
        <v>6820</v>
      </c>
      <c r="J2682" s="1" t="s">
        <v>1332</v>
      </c>
      <c r="L2682" s="1" t="s">
        <v>900</v>
      </c>
      <c r="M2682" s="1" t="s">
        <v>4284</v>
      </c>
      <c r="N2682" s="1" t="s">
        <v>6436</v>
      </c>
      <c r="P2682" s="1" t="s">
        <v>4288</v>
      </c>
      <c r="Q2682" s="3">
        <v>0</v>
      </c>
      <c r="S2682" s="23" t="s">
        <v>5949</v>
      </c>
      <c r="T2682" s="23" t="s">
        <v>4931</v>
      </c>
      <c r="U2682" s="3">
        <v>34</v>
      </c>
      <c r="W2682" s="45" t="str">
        <f>HYPERLINK("http://ictvonline.org/taxonomy/p/taxonomy-history?taxnode_id=201850610","ICTVonline=201850610")</f>
        <v>ICTVonline=201850610</v>
      </c>
      <c r="AA2682" s="1">
        <v>201850000</v>
      </c>
      <c r="AB2682" s="1">
        <v>34</v>
      </c>
    </row>
    <row r="2683" spans="1:28" x14ac:dyDescent="0.15">
      <c r="A2683" s="1">
        <v>6822</v>
      </c>
      <c r="J2683" s="1" t="s">
        <v>1332</v>
      </c>
      <c r="L2683" s="1" t="s">
        <v>900</v>
      </c>
      <c r="M2683" s="1" t="s">
        <v>4284</v>
      </c>
      <c r="N2683" s="1" t="s">
        <v>6436</v>
      </c>
      <c r="P2683" s="1" t="s">
        <v>4289</v>
      </c>
      <c r="Q2683" s="3">
        <v>0</v>
      </c>
      <c r="S2683" s="23" t="s">
        <v>5949</v>
      </c>
      <c r="T2683" s="23" t="s">
        <v>4931</v>
      </c>
      <c r="U2683" s="3">
        <v>34</v>
      </c>
      <c r="W2683" s="45" t="str">
        <f>HYPERLINK("http://ictvonline.org/taxonomy/p/taxonomy-history?taxnode_id=201850611","ICTVonline=201850611")</f>
        <v>ICTVonline=201850611</v>
      </c>
      <c r="AA2683" s="1">
        <v>201850000</v>
      </c>
      <c r="AB2683" s="1">
        <v>34</v>
      </c>
    </row>
    <row r="2684" spans="1:28" x14ac:dyDescent="0.15">
      <c r="A2684" s="1">
        <v>6827</v>
      </c>
      <c r="J2684" s="1" t="s">
        <v>1332</v>
      </c>
      <c r="L2684" s="1" t="s">
        <v>900</v>
      </c>
      <c r="N2684" s="1" t="s">
        <v>6437</v>
      </c>
      <c r="P2684" s="1" t="s">
        <v>6438</v>
      </c>
      <c r="Q2684" s="3">
        <v>1</v>
      </c>
      <c r="S2684" s="23" t="s">
        <v>5949</v>
      </c>
      <c r="T2684" s="23" t="s">
        <v>4929</v>
      </c>
      <c r="U2684" s="3">
        <v>34</v>
      </c>
      <c r="V2684" s="3" t="s">
        <v>6439</v>
      </c>
      <c r="W2684" s="45" t="str">
        <f>HYPERLINK("http://ictvonline.org/taxonomy/p/taxonomy-history?taxnode_id=201856761","ICTVonline=201856761")</f>
        <v>ICTVonline=201856761</v>
      </c>
      <c r="AA2684" s="1">
        <v>201850000</v>
      </c>
      <c r="AB2684" s="1">
        <v>34</v>
      </c>
    </row>
    <row r="2685" spans="1:28" x14ac:dyDescent="0.15">
      <c r="A2685" s="1">
        <v>6831</v>
      </c>
      <c r="J2685" s="1" t="s">
        <v>1332</v>
      </c>
      <c r="L2685" s="1" t="s">
        <v>900</v>
      </c>
      <c r="N2685" s="1" t="s">
        <v>6440</v>
      </c>
      <c r="P2685" s="1" t="s">
        <v>5022</v>
      </c>
      <c r="Q2685" s="3">
        <v>1</v>
      </c>
      <c r="S2685" s="23" t="s">
        <v>5949</v>
      </c>
      <c r="T2685" s="23" t="s">
        <v>4931</v>
      </c>
      <c r="U2685" s="3">
        <v>34</v>
      </c>
      <c r="W2685" s="45" t="str">
        <f>HYPERLINK("http://ictvonline.org/taxonomy/p/taxonomy-history?taxnode_id=201855488","ICTVonline=201855488")</f>
        <v>ICTVonline=201855488</v>
      </c>
      <c r="AA2685" s="1">
        <v>201850000</v>
      </c>
      <c r="AB2685" s="1">
        <v>34</v>
      </c>
    </row>
    <row r="2686" spans="1:28" x14ac:dyDescent="0.15">
      <c r="A2686" s="1">
        <v>6835</v>
      </c>
      <c r="J2686" s="1" t="s">
        <v>1332</v>
      </c>
      <c r="L2686" s="1" t="s">
        <v>900</v>
      </c>
      <c r="N2686" s="1" t="s">
        <v>6441</v>
      </c>
      <c r="P2686" s="1" t="s">
        <v>6442</v>
      </c>
      <c r="Q2686" s="3">
        <v>0</v>
      </c>
      <c r="S2686" s="23" t="s">
        <v>5949</v>
      </c>
      <c r="T2686" s="23" t="s">
        <v>4929</v>
      </c>
      <c r="U2686" s="3">
        <v>34</v>
      </c>
      <c r="V2686" s="3" t="s">
        <v>6443</v>
      </c>
      <c r="W2686" s="45" t="str">
        <f>HYPERLINK("http://ictvonline.org/taxonomy/p/taxonomy-history?taxnode_id=201856804","ICTVonline=201856804")</f>
        <v>ICTVonline=201856804</v>
      </c>
      <c r="AA2686" s="1">
        <v>201850000</v>
      </c>
      <c r="AB2686" s="1">
        <v>34</v>
      </c>
    </row>
    <row r="2687" spans="1:28" x14ac:dyDescent="0.15">
      <c r="A2687" s="1">
        <v>6837</v>
      </c>
      <c r="J2687" s="1" t="s">
        <v>1332</v>
      </c>
      <c r="L2687" s="1" t="s">
        <v>900</v>
      </c>
      <c r="N2687" s="1" t="s">
        <v>6441</v>
      </c>
      <c r="P2687" s="1" t="s">
        <v>6444</v>
      </c>
      <c r="Q2687" s="3">
        <v>1</v>
      </c>
      <c r="S2687" s="23" t="s">
        <v>5949</v>
      </c>
      <c r="T2687" s="23" t="s">
        <v>4929</v>
      </c>
      <c r="U2687" s="3">
        <v>34</v>
      </c>
      <c r="V2687" s="3" t="s">
        <v>6443</v>
      </c>
      <c r="W2687" s="45" t="str">
        <f>HYPERLINK("http://ictvonline.org/taxonomy/p/taxonomy-history?taxnode_id=201856803","ICTVonline=201856803")</f>
        <v>ICTVonline=201856803</v>
      </c>
      <c r="AA2687" s="1">
        <v>201850000</v>
      </c>
      <c r="AB2687" s="1">
        <v>34</v>
      </c>
    </row>
    <row r="2688" spans="1:28" x14ac:dyDescent="0.15">
      <c r="A2688" s="1">
        <v>6841</v>
      </c>
      <c r="J2688" s="1" t="s">
        <v>1332</v>
      </c>
      <c r="L2688" s="1" t="s">
        <v>900</v>
      </c>
      <c r="N2688" s="1" t="s">
        <v>6445</v>
      </c>
      <c r="P2688" s="1" t="s">
        <v>6446</v>
      </c>
      <c r="Q2688" s="3">
        <v>1</v>
      </c>
      <c r="S2688" s="23" t="s">
        <v>5949</v>
      </c>
      <c r="T2688" s="23" t="s">
        <v>4929</v>
      </c>
      <c r="U2688" s="3">
        <v>34</v>
      </c>
      <c r="V2688" s="3" t="s">
        <v>6447</v>
      </c>
      <c r="W2688" s="45" t="str">
        <f>HYPERLINK("http://ictvonline.org/taxonomy/p/taxonomy-history?taxnode_id=201856806","ICTVonline=201856806")</f>
        <v>ICTVonline=201856806</v>
      </c>
      <c r="AA2688" s="1">
        <v>201850000</v>
      </c>
      <c r="AB2688" s="1">
        <v>34</v>
      </c>
    </row>
    <row r="2689" spans="1:28" x14ac:dyDescent="0.15">
      <c r="A2689" s="1">
        <v>6845</v>
      </c>
      <c r="J2689" s="1" t="s">
        <v>1332</v>
      </c>
      <c r="L2689" s="1" t="s">
        <v>900</v>
      </c>
      <c r="N2689" s="1" t="s">
        <v>6448</v>
      </c>
      <c r="P2689" s="1" t="s">
        <v>3021</v>
      </c>
      <c r="Q2689" s="3">
        <v>0</v>
      </c>
      <c r="S2689" s="23" t="s">
        <v>5949</v>
      </c>
      <c r="T2689" s="23" t="s">
        <v>4931</v>
      </c>
      <c r="U2689" s="3">
        <v>34</v>
      </c>
      <c r="W2689" s="45" t="str">
        <f>HYPERLINK("http://ictvonline.org/taxonomy/p/taxonomy-history?taxnode_id=201850661","ICTVonline=201850661")</f>
        <v>ICTVonline=201850661</v>
      </c>
      <c r="AA2689" s="1">
        <v>201850000</v>
      </c>
      <c r="AB2689" s="1">
        <v>34</v>
      </c>
    </row>
    <row r="2690" spans="1:28" x14ac:dyDescent="0.15">
      <c r="A2690" s="1">
        <v>6847</v>
      </c>
      <c r="J2690" s="1" t="s">
        <v>1332</v>
      </c>
      <c r="L2690" s="1" t="s">
        <v>900</v>
      </c>
      <c r="N2690" s="1" t="s">
        <v>6448</v>
      </c>
      <c r="P2690" s="1" t="s">
        <v>3022</v>
      </c>
      <c r="Q2690" s="3">
        <v>0</v>
      </c>
      <c r="S2690" s="23" t="s">
        <v>5949</v>
      </c>
      <c r="T2690" s="23" t="s">
        <v>4931</v>
      </c>
      <c r="U2690" s="3">
        <v>34</v>
      </c>
      <c r="W2690" s="45" t="str">
        <f>HYPERLINK("http://ictvonline.org/taxonomy/p/taxonomy-history?taxnode_id=201850662","ICTVonline=201850662")</f>
        <v>ICTVonline=201850662</v>
      </c>
      <c r="AA2690" s="1">
        <v>201850000</v>
      </c>
      <c r="AB2690" s="1">
        <v>34</v>
      </c>
    </row>
    <row r="2691" spans="1:28" x14ac:dyDescent="0.15">
      <c r="A2691" s="1">
        <v>6849</v>
      </c>
      <c r="J2691" s="1" t="s">
        <v>1332</v>
      </c>
      <c r="L2691" s="1" t="s">
        <v>900</v>
      </c>
      <c r="N2691" s="1" t="s">
        <v>6448</v>
      </c>
      <c r="P2691" s="1" t="s">
        <v>3023</v>
      </c>
      <c r="Q2691" s="3">
        <v>1</v>
      </c>
      <c r="S2691" s="23" t="s">
        <v>5949</v>
      </c>
      <c r="T2691" s="23" t="s">
        <v>4931</v>
      </c>
      <c r="U2691" s="3">
        <v>34</v>
      </c>
      <c r="W2691" s="45" t="str">
        <f>HYPERLINK("http://ictvonline.org/taxonomy/p/taxonomy-history?taxnode_id=201850663","ICTVonline=201850663")</f>
        <v>ICTVonline=201850663</v>
      </c>
      <c r="AA2691" s="1">
        <v>201850000</v>
      </c>
      <c r="AB2691" s="1">
        <v>34</v>
      </c>
    </row>
    <row r="2692" spans="1:28" x14ac:dyDescent="0.15">
      <c r="A2692" s="1">
        <v>6851</v>
      </c>
      <c r="J2692" s="1" t="s">
        <v>1332</v>
      </c>
      <c r="L2692" s="1" t="s">
        <v>900</v>
      </c>
      <c r="N2692" s="1" t="s">
        <v>6448</v>
      </c>
      <c r="P2692" s="1" t="s">
        <v>3024</v>
      </c>
      <c r="Q2692" s="3">
        <v>0</v>
      </c>
      <c r="S2692" s="23" t="s">
        <v>5949</v>
      </c>
      <c r="T2692" s="23" t="s">
        <v>4931</v>
      </c>
      <c r="U2692" s="3">
        <v>34</v>
      </c>
      <c r="W2692" s="45" t="str">
        <f>HYPERLINK("http://ictvonline.org/taxonomy/p/taxonomy-history?taxnode_id=201850664","ICTVonline=201850664")</f>
        <v>ICTVonline=201850664</v>
      </c>
      <c r="AA2692" s="1">
        <v>201850000</v>
      </c>
      <c r="AB2692" s="1">
        <v>34</v>
      </c>
    </row>
    <row r="2693" spans="1:28" x14ac:dyDescent="0.15">
      <c r="A2693" s="1">
        <v>6853</v>
      </c>
      <c r="J2693" s="1" t="s">
        <v>1332</v>
      </c>
      <c r="L2693" s="1" t="s">
        <v>900</v>
      </c>
      <c r="N2693" s="1" t="s">
        <v>6448</v>
      </c>
      <c r="P2693" s="1" t="s">
        <v>3025</v>
      </c>
      <c r="Q2693" s="3">
        <v>0</v>
      </c>
      <c r="S2693" s="23" t="s">
        <v>5949</v>
      </c>
      <c r="T2693" s="23" t="s">
        <v>4931</v>
      </c>
      <c r="U2693" s="3">
        <v>34</v>
      </c>
      <c r="W2693" s="45" t="str">
        <f>HYPERLINK("http://ictvonline.org/taxonomy/p/taxonomy-history?taxnode_id=201850665","ICTVonline=201850665")</f>
        <v>ICTVonline=201850665</v>
      </c>
      <c r="AA2693" s="1">
        <v>201850000</v>
      </c>
      <c r="AB2693" s="1">
        <v>34</v>
      </c>
    </row>
    <row r="2694" spans="1:28" x14ac:dyDescent="0.15">
      <c r="A2694" s="1">
        <v>6855</v>
      </c>
      <c r="J2694" s="1" t="s">
        <v>1332</v>
      </c>
      <c r="L2694" s="1" t="s">
        <v>900</v>
      </c>
      <c r="N2694" s="1" t="s">
        <v>6448</v>
      </c>
      <c r="P2694" s="1" t="s">
        <v>3026</v>
      </c>
      <c r="Q2694" s="3">
        <v>0</v>
      </c>
      <c r="S2694" s="23" t="s">
        <v>5949</v>
      </c>
      <c r="T2694" s="23" t="s">
        <v>4931</v>
      </c>
      <c r="U2694" s="3">
        <v>34</v>
      </c>
      <c r="W2694" s="45" t="str">
        <f>HYPERLINK("http://ictvonline.org/taxonomy/p/taxonomy-history?taxnode_id=201850666","ICTVonline=201850666")</f>
        <v>ICTVonline=201850666</v>
      </c>
      <c r="AA2694" s="1">
        <v>201850000</v>
      </c>
      <c r="AB2694" s="1">
        <v>34</v>
      </c>
    </row>
    <row r="2695" spans="1:28" x14ac:dyDescent="0.15">
      <c r="A2695" s="1">
        <v>6857</v>
      </c>
      <c r="J2695" s="1" t="s">
        <v>1332</v>
      </c>
      <c r="L2695" s="1" t="s">
        <v>900</v>
      </c>
      <c r="N2695" s="1" t="s">
        <v>6448</v>
      </c>
      <c r="P2695" s="1" t="s">
        <v>3027</v>
      </c>
      <c r="Q2695" s="3">
        <v>0</v>
      </c>
      <c r="S2695" s="23" t="s">
        <v>5949</v>
      </c>
      <c r="T2695" s="23" t="s">
        <v>4931</v>
      </c>
      <c r="U2695" s="3">
        <v>34</v>
      </c>
      <c r="W2695" s="45" t="str">
        <f>HYPERLINK("http://ictvonline.org/taxonomy/p/taxonomy-history?taxnode_id=201850667","ICTVonline=201850667")</f>
        <v>ICTVonline=201850667</v>
      </c>
      <c r="AA2695" s="1">
        <v>201850000</v>
      </c>
      <c r="AB2695" s="1">
        <v>34</v>
      </c>
    </row>
    <row r="2696" spans="1:28" x14ac:dyDescent="0.15">
      <c r="A2696" s="1">
        <v>6861</v>
      </c>
      <c r="J2696" s="1" t="s">
        <v>1332</v>
      </c>
      <c r="L2696" s="1" t="s">
        <v>900</v>
      </c>
      <c r="N2696" s="1" t="s">
        <v>6449</v>
      </c>
      <c r="P2696" s="1" t="s">
        <v>3054</v>
      </c>
      <c r="Q2696" s="3">
        <v>0</v>
      </c>
      <c r="S2696" s="23" t="s">
        <v>5949</v>
      </c>
      <c r="T2696" s="23" t="s">
        <v>4931</v>
      </c>
      <c r="U2696" s="3">
        <v>34</v>
      </c>
      <c r="W2696" s="45" t="str">
        <f>HYPERLINK("http://ictvonline.org/taxonomy/p/taxonomy-history?taxnode_id=201850710","ICTVonline=201850710")</f>
        <v>ICTVonline=201850710</v>
      </c>
      <c r="AA2696" s="1">
        <v>201850000</v>
      </c>
      <c r="AB2696" s="1">
        <v>34</v>
      </c>
    </row>
    <row r="2697" spans="1:28" x14ac:dyDescent="0.15">
      <c r="A2697" s="1">
        <v>6863</v>
      </c>
      <c r="J2697" s="1" t="s">
        <v>1332</v>
      </c>
      <c r="L2697" s="1" t="s">
        <v>900</v>
      </c>
      <c r="N2697" s="1" t="s">
        <v>6449</v>
      </c>
      <c r="P2697" s="1" t="s">
        <v>3055</v>
      </c>
      <c r="Q2697" s="3">
        <v>0</v>
      </c>
      <c r="S2697" s="23" t="s">
        <v>5949</v>
      </c>
      <c r="T2697" s="23" t="s">
        <v>4931</v>
      </c>
      <c r="U2697" s="3">
        <v>34</v>
      </c>
      <c r="W2697" s="45" t="str">
        <f>HYPERLINK("http://ictvonline.org/taxonomy/p/taxonomy-history?taxnode_id=201850711","ICTVonline=201850711")</f>
        <v>ICTVonline=201850711</v>
      </c>
      <c r="AA2697" s="1">
        <v>201850000</v>
      </c>
      <c r="AB2697" s="1">
        <v>34</v>
      </c>
    </row>
    <row r="2698" spans="1:28" x14ac:dyDescent="0.15">
      <c r="A2698" s="1">
        <v>6865</v>
      </c>
      <c r="J2698" s="1" t="s">
        <v>1332</v>
      </c>
      <c r="L2698" s="1" t="s">
        <v>900</v>
      </c>
      <c r="N2698" s="1" t="s">
        <v>6449</v>
      </c>
      <c r="P2698" s="1" t="s">
        <v>3056</v>
      </c>
      <c r="Q2698" s="3">
        <v>1</v>
      </c>
      <c r="S2698" s="23" t="s">
        <v>5949</v>
      </c>
      <c r="T2698" s="23" t="s">
        <v>4931</v>
      </c>
      <c r="U2698" s="3">
        <v>34</v>
      </c>
      <c r="W2698" s="45" t="str">
        <f>HYPERLINK("http://ictvonline.org/taxonomy/p/taxonomy-history?taxnode_id=201850712","ICTVonline=201850712")</f>
        <v>ICTVonline=201850712</v>
      </c>
      <c r="AA2698" s="1">
        <v>201850000</v>
      </c>
      <c r="AB2698" s="1">
        <v>34</v>
      </c>
    </row>
    <row r="2699" spans="1:28" x14ac:dyDescent="0.15">
      <c r="A2699" s="1">
        <v>6869</v>
      </c>
      <c r="J2699" s="1" t="s">
        <v>1332</v>
      </c>
      <c r="L2699" s="1" t="s">
        <v>900</v>
      </c>
      <c r="N2699" s="1" t="s">
        <v>6450</v>
      </c>
      <c r="P2699" s="1" t="s">
        <v>3028</v>
      </c>
      <c r="Q2699" s="3">
        <v>1</v>
      </c>
      <c r="S2699" s="23" t="s">
        <v>5949</v>
      </c>
      <c r="T2699" s="23" t="s">
        <v>4931</v>
      </c>
      <c r="U2699" s="3">
        <v>34</v>
      </c>
      <c r="W2699" s="45" t="str">
        <f>HYPERLINK("http://ictvonline.org/taxonomy/p/taxonomy-history?taxnode_id=201850672","ICTVonline=201850672")</f>
        <v>ICTVonline=201850672</v>
      </c>
      <c r="AA2699" s="1">
        <v>201850000</v>
      </c>
      <c r="AB2699" s="1">
        <v>34</v>
      </c>
    </row>
    <row r="2700" spans="1:28" x14ac:dyDescent="0.15">
      <c r="A2700" s="1">
        <v>6873</v>
      </c>
      <c r="J2700" s="1" t="s">
        <v>1332</v>
      </c>
      <c r="L2700" s="1" t="s">
        <v>900</v>
      </c>
      <c r="N2700" s="1" t="s">
        <v>6451</v>
      </c>
      <c r="P2700" s="1" t="s">
        <v>6452</v>
      </c>
      <c r="Q2700" s="3">
        <v>1</v>
      </c>
      <c r="S2700" s="23" t="s">
        <v>5949</v>
      </c>
      <c r="T2700" s="23" t="s">
        <v>4929</v>
      </c>
      <c r="U2700" s="3">
        <v>34</v>
      </c>
      <c r="V2700" s="3" t="s">
        <v>6453</v>
      </c>
      <c r="W2700" s="45" t="str">
        <f>HYPERLINK("http://ictvonline.org/taxonomy/p/taxonomy-history?taxnode_id=201856952","ICTVonline=201856952")</f>
        <v>ICTVonline=201856952</v>
      </c>
      <c r="AA2700" s="1">
        <v>201850000</v>
      </c>
      <c r="AB2700" s="1">
        <v>34</v>
      </c>
    </row>
    <row r="2701" spans="1:28" x14ac:dyDescent="0.15">
      <c r="A2701" s="1">
        <v>6875</v>
      </c>
      <c r="J2701" s="1" t="s">
        <v>1332</v>
      </c>
      <c r="L2701" s="1" t="s">
        <v>900</v>
      </c>
      <c r="N2701" s="1" t="s">
        <v>6451</v>
      </c>
      <c r="P2701" s="1" t="s">
        <v>6454</v>
      </c>
      <c r="Q2701" s="3">
        <v>0</v>
      </c>
      <c r="S2701" s="23" t="s">
        <v>5949</v>
      </c>
      <c r="T2701" s="23" t="s">
        <v>4929</v>
      </c>
      <c r="U2701" s="3">
        <v>34</v>
      </c>
      <c r="V2701" s="3" t="s">
        <v>6453</v>
      </c>
      <c r="W2701" s="45" t="str">
        <f>HYPERLINK("http://ictvonline.org/taxonomy/p/taxonomy-history?taxnode_id=201856953","ICTVonline=201856953")</f>
        <v>ICTVonline=201856953</v>
      </c>
      <c r="AA2701" s="1">
        <v>201850000</v>
      </c>
      <c r="AB2701" s="1">
        <v>34</v>
      </c>
    </row>
    <row r="2702" spans="1:28" x14ac:dyDescent="0.15">
      <c r="A2702" s="1">
        <v>6879</v>
      </c>
      <c r="J2702" s="1" t="s">
        <v>1332</v>
      </c>
      <c r="L2702" s="1" t="s">
        <v>900</v>
      </c>
      <c r="N2702" s="1" t="s">
        <v>6455</v>
      </c>
      <c r="P2702" s="1" t="s">
        <v>3010</v>
      </c>
      <c r="Q2702" s="3">
        <v>0</v>
      </c>
      <c r="S2702" s="23" t="s">
        <v>5949</v>
      </c>
      <c r="T2702" s="23" t="s">
        <v>4931</v>
      </c>
      <c r="U2702" s="3">
        <v>34</v>
      </c>
      <c r="W2702" s="45" t="str">
        <f>HYPERLINK("http://ictvonline.org/taxonomy/p/taxonomy-history?taxnode_id=201850643","ICTVonline=201850643")</f>
        <v>ICTVonline=201850643</v>
      </c>
      <c r="AA2702" s="1">
        <v>201850000</v>
      </c>
      <c r="AB2702" s="1">
        <v>34</v>
      </c>
    </row>
    <row r="2703" spans="1:28" x14ac:dyDescent="0.15">
      <c r="A2703" s="1">
        <v>6881</v>
      </c>
      <c r="J2703" s="1" t="s">
        <v>1332</v>
      </c>
      <c r="L2703" s="1" t="s">
        <v>900</v>
      </c>
      <c r="N2703" s="1" t="s">
        <v>6455</v>
      </c>
      <c r="P2703" s="1" t="s">
        <v>3011</v>
      </c>
      <c r="Q2703" s="3">
        <v>0</v>
      </c>
      <c r="S2703" s="23" t="s">
        <v>5949</v>
      </c>
      <c r="T2703" s="23" t="s">
        <v>4931</v>
      </c>
      <c r="U2703" s="3">
        <v>34</v>
      </c>
      <c r="W2703" s="45" t="str">
        <f>HYPERLINK("http://ictvonline.org/taxonomy/p/taxonomy-history?taxnode_id=201850644","ICTVonline=201850644")</f>
        <v>ICTVonline=201850644</v>
      </c>
      <c r="AA2703" s="1">
        <v>201850000</v>
      </c>
      <c r="AB2703" s="1">
        <v>34</v>
      </c>
    </row>
    <row r="2704" spans="1:28" x14ac:dyDescent="0.15">
      <c r="A2704" s="1">
        <v>6883</v>
      </c>
      <c r="J2704" s="1" t="s">
        <v>1332</v>
      </c>
      <c r="L2704" s="1" t="s">
        <v>900</v>
      </c>
      <c r="N2704" s="1" t="s">
        <v>6455</v>
      </c>
      <c r="P2704" s="1" t="s">
        <v>3012</v>
      </c>
      <c r="Q2704" s="3">
        <v>0</v>
      </c>
      <c r="S2704" s="23" t="s">
        <v>5949</v>
      </c>
      <c r="T2704" s="23" t="s">
        <v>4931</v>
      </c>
      <c r="U2704" s="3">
        <v>34</v>
      </c>
      <c r="W2704" s="45" t="str">
        <f>HYPERLINK("http://ictvonline.org/taxonomy/p/taxonomy-history?taxnode_id=201850645","ICTVonline=201850645")</f>
        <v>ICTVonline=201850645</v>
      </c>
      <c r="AA2704" s="1">
        <v>201850000</v>
      </c>
      <c r="AB2704" s="1">
        <v>34</v>
      </c>
    </row>
    <row r="2705" spans="1:28" x14ac:dyDescent="0.15">
      <c r="A2705" s="1">
        <v>6885</v>
      </c>
      <c r="J2705" s="1" t="s">
        <v>1332</v>
      </c>
      <c r="L2705" s="1" t="s">
        <v>900</v>
      </c>
      <c r="N2705" s="1" t="s">
        <v>6455</v>
      </c>
      <c r="P2705" s="1" t="s">
        <v>3013</v>
      </c>
      <c r="Q2705" s="3">
        <v>0</v>
      </c>
      <c r="S2705" s="23" t="s">
        <v>5949</v>
      </c>
      <c r="T2705" s="23" t="s">
        <v>4931</v>
      </c>
      <c r="U2705" s="3">
        <v>34</v>
      </c>
      <c r="W2705" s="45" t="str">
        <f>HYPERLINK("http://ictvonline.org/taxonomy/p/taxonomy-history?taxnode_id=201850646","ICTVonline=201850646")</f>
        <v>ICTVonline=201850646</v>
      </c>
      <c r="AA2705" s="1">
        <v>201850000</v>
      </c>
      <c r="AB2705" s="1">
        <v>34</v>
      </c>
    </row>
    <row r="2706" spans="1:28" x14ac:dyDescent="0.15">
      <c r="A2706" s="1">
        <v>6887</v>
      </c>
      <c r="J2706" s="1" t="s">
        <v>1332</v>
      </c>
      <c r="L2706" s="1" t="s">
        <v>900</v>
      </c>
      <c r="N2706" s="1" t="s">
        <v>6455</v>
      </c>
      <c r="P2706" s="1" t="s">
        <v>3014</v>
      </c>
      <c r="Q2706" s="3">
        <v>0</v>
      </c>
      <c r="S2706" s="23" t="s">
        <v>5949</v>
      </c>
      <c r="T2706" s="23" t="s">
        <v>4931</v>
      </c>
      <c r="U2706" s="3">
        <v>34</v>
      </c>
      <c r="W2706" s="45" t="str">
        <f>HYPERLINK("http://ictvonline.org/taxonomy/p/taxonomy-history?taxnode_id=201850647","ICTVonline=201850647")</f>
        <v>ICTVonline=201850647</v>
      </c>
      <c r="AA2706" s="1">
        <v>201850000</v>
      </c>
      <c r="AB2706" s="1">
        <v>34</v>
      </c>
    </row>
    <row r="2707" spans="1:28" x14ac:dyDescent="0.15">
      <c r="A2707" s="1">
        <v>6889</v>
      </c>
      <c r="J2707" s="1" t="s">
        <v>1332</v>
      </c>
      <c r="L2707" s="1" t="s">
        <v>900</v>
      </c>
      <c r="N2707" s="1" t="s">
        <v>6455</v>
      </c>
      <c r="P2707" s="1" t="s">
        <v>3015</v>
      </c>
      <c r="Q2707" s="3">
        <v>1</v>
      </c>
      <c r="S2707" s="23" t="s">
        <v>5949</v>
      </c>
      <c r="T2707" s="23" t="s">
        <v>4931</v>
      </c>
      <c r="U2707" s="3">
        <v>34</v>
      </c>
      <c r="W2707" s="45" t="str">
        <f>HYPERLINK("http://ictvonline.org/taxonomy/p/taxonomy-history?taxnode_id=201850648","ICTVonline=201850648")</f>
        <v>ICTVonline=201850648</v>
      </c>
      <c r="AA2707" s="1">
        <v>201850000</v>
      </c>
      <c r="AB2707" s="1">
        <v>34</v>
      </c>
    </row>
    <row r="2708" spans="1:28" x14ac:dyDescent="0.15">
      <c r="A2708" s="1">
        <v>6891</v>
      </c>
      <c r="J2708" s="1" t="s">
        <v>1332</v>
      </c>
      <c r="L2708" s="1" t="s">
        <v>900</v>
      </c>
      <c r="N2708" s="1" t="s">
        <v>6455</v>
      </c>
      <c r="P2708" s="1" t="s">
        <v>3016</v>
      </c>
      <c r="Q2708" s="3">
        <v>0</v>
      </c>
      <c r="S2708" s="23" t="s">
        <v>5949</v>
      </c>
      <c r="T2708" s="23" t="s">
        <v>4931</v>
      </c>
      <c r="U2708" s="3">
        <v>34</v>
      </c>
      <c r="W2708" s="45" t="str">
        <f>HYPERLINK("http://ictvonline.org/taxonomy/p/taxonomy-history?taxnode_id=201850649","ICTVonline=201850649")</f>
        <v>ICTVonline=201850649</v>
      </c>
      <c r="AA2708" s="1">
        <v>201850000</v>
      </c>
      <c r="AB2708" s="1">
        <v>34</v>
      </c>
    </row>
    <row r="2709" spans="1:28" x14ac:dyDescent="0.15">
      <c r="A2709" s="1">
        <v>6893</v>
      </c>
      <c r="J2709" s="1" t="s">
        <v>1332</v>
      </c>
      <c r="L2709" s="1" t="s">
        <v>900</v>
      </c>
      <c r="N2709" s="1" t="s">
        <v>6455</v>
      </c>
      <c r="P2709" s="1" t="s">
        <v>3017</v>
      </c>
      <c r="Q2709" s="3">
        <v>0</v>
      </c>
      <c r="S2709" s="23" t="s">
        <v>5949</v>
      </c>
      <c r="T2709" s="23" t="s">
        <v>4931</v>
      </c>
      <c r="U2709" s="3">
        <v>34</v>
      </c>
      <c r="W2709" s="45" t="str">
        <f>HYPERLINK("http://ictvonline.org/taxonomy/p/taxonomy-history?taxnode_id=201850650","ICTVonline=201850650")</f>
        <v>ICTVonline=201850650</v>
      </c>
      <c r="AA2709" s="1">
        <v>201850000</v>
      </c>
      <c r="AB2709" s="1">
        <v>34</v>
      </c>
    </row>
    <row r="2710" spans="1:28" x14ac:dyDescent="0.15">
      <c r="A2710" s="1">
        <v>6897</v>
      </c>
      <c r="J2710" s="1" t="s">
        <v>1332</v>
      </c>
      <c r="L2710" s="1" t="s">
        <v>900</v>
      </c>
      <c r="N2710" s="1" t="s">
        <v>6456</v>
      </c>
      <c r="P2710" s="1" t="s">
        <v>3006</v>
      </c>
      <c r="Q2710" s="3">
        <v>1</v>
      </c>
      <c r="S2710" s="23" t="s">
        <v>5949</v>
      </c>
      <c r="T2710" s="23" t="s">
        <v>4931</v>
      </c>
      <c r="U2710" s="3">
        <v>34</v>
      </c>
      <c r="W2710" s="45" t="str">
        <f>HYPERLINK("http://ictvonline.org/taxonomy/p/taxonomy-history?taxnode_id=201850640","ICTVonline=201850640")</f>
        <v>ICTVonline=201850640</v>
      </c>
      <c r="AA2710" s="1">
        <v>201850000</v>
      </c>
      <c r="AB2710" s="1">
        <v>34</v>
      </c>
    </row>
    <row r="2711" spans="1:28" x14ac:dyDescent="0.15">
      <c r="A2711" s="1">
        <v>6899</v>
      </c>
      <c r="J2711" s="1" t="s">
        <v>1332</v>
      </c>
      <c r="L2711" s="1" t="s">
        <v>900</v>
      </c>
      <c r="N2711" s="1" t="s">
        <v>6456</v>
      </c>
      <c r="P2711" s="1" t="s">
        <v>3007</v>
      </c>
      <c r="Q2711" s="3">
        <v>0</v>
      </c>
      <c r="S2711" s="23" t="s">
        <v>5949</v>
      </c>
      <c r="T2711" s="23" t="s">
        <v>4931</v>
      </c>
      <c r="U2711" s="3">
        <v>34</v>
      </c>
      <c r="W2711" s="45" t="str">
        <f>HYPERLINK("http://ictvonline.org/taxonomy/p/taxonomy-history?taxnode_id=201850641","ICTVonline=201850641")</f>
        <v>ICTVonline=201850641</v>
      </c>
      <c r="AA2711" s="1">
        <v>201850000</v>
      </c>
      <c r="AB2711" s="1">
        <v>34</v>
      </c>
    </row>
    <row r="2712" spans="1:28" x14ac:dyDescent="0.15">
      <c r="A2712" s="1">
        <v>6903</v>
      </c>
      <c r="J2712" s="1" t="s">
        <v>1332</v>
      </c>
      <c r="L2712" s="1" t="s">
        <v>900</v>
      </c>
      <c r="N2712" s="1" t="s">
        <v>6457</v>
      </c>
      <c r="P2712" s="1" t="s">
        <v>5027</v>
      </c>
      <c r="Q2712" s="3">
        <v>0</v>
      </c>
      <c r="S2712" s="23" t="s">
        <v>5949</v>
      </c>
      <c r="T2712" s="23" t="s">
        <v>4931</v>
      </c>
      <c r="U2712" s="3">
        <v>34</v>
      </c>
      <c r="W2712" s="45" t="str">
        <f>HYPERLINK("http://ictvonline.org/taxonomy/p/taxonomy-history?taxnode_id=201855494","ICTVonline=201855494")</f>
        <v>ICTVonline=201855494</v>
      </c>
      <c r="AA2712" s="1">
        <v>201850000</v>
      </c>
      <c r="AB2712" s="1">
        <v>34</v>
      </c>
    </row>
    <row r="2713" spans="1:28" x14ac:dyDescent="0.15">
      <c r="A2713" s="1">
        <v>6905</v>
      </c>
      <c r="J2713" s="1" t="s">
        <v>1332</v>
      </c>
      <c r="L2713" s="1" t="s">
        <v>900</v>
      </c>
      <c r="N2713" s="1" t="s">
        <v>6457</v>
      </c>
      <c r="P2713" s="1" t="s">
        <v>5028</v>
      </c>
      <c r="Q2713" s="3">
        <v>1</v>
      </c>
      <c r="S2713" s="23" t="s">
        <v>5949</v>
      </c>
      <c r="T2713" s="23" t="s">
        <v>4931</v>
      </c>
      <c r="U2713" s="3">
        <v>34</v>
      </c>
      <c r="W2713" s="45" t="str">
        <f>HYPERLINK("http://ictvonline.org/taxonomy/p/taxonomy-history?taxnode_id=201855495","ICTVonline=201855495")</f>
        <v>ICTVonline=201855495</v>
      </c>
      <c r="AA2713" s="1">
        <v>201850000</v>
      </c>
      <c r="AB2713" s="1">
        <v>34</v>
      </c>
    </row>
    <row r="2714" spans="1:28" x14ac:dyDescent="0.15">
      <c r="A2714" s="1">
        <v>6907</v>
      </c>
      <c r="J2714" s="1" t="s">
        <v>1332</v>
      </c>
      <c r="L2714" s="1" t="s">
        <v>900</v>
      </c>
      <c r="N2714" s="1" t="s">
        <v>6457</v>
      </c>
      <c r="P2714" s="1" t="s">
        <v>5029</v>
      </c>
      <c r="Q2714" s="3">
        <v>0</v>
      </c>
      <c r="S2714" s="23" t="s">
        <v>5949</v>
      </c>
      <c r="T2714" s="23" t="s">
        <v>4931</v>
      </c>
      <c r="U2714" s="3">
        <v>34</v>
      </c>
      <c r="W2714" s="45" t="str">
        <f>HYPERLINK("http://ictvonline.org/taxonomy/p/taxonomy-history?taxnode_id=201855496","ICTVonline=201855496")</f>
        <v>ICTVonline=201855496</v>
      </c>
      <c r="AA2714" s="1">
        <v>201850000</v>
      </c>
      <c r="AB2714" s="1">
        <v>34</v>
      </c>
    </row>
    <row r="2715" spans="1:28" x14ac:dyDescent="0.15">
      <c r="A2715" s="1">
        <v>6911</v>
      </c>
      <c r="J2715" s="1" t="s">
        <v>1332</v>
      </c>
      <c r="L2715" s="1" t="s">
        <v>900</v>
      </c>
      <c r="N2715" s="1" t="s">
        <v>6458</v>
      </c>
      <c r="P2715" s="1" t="s">
        <v>6459</v>
      </c>
      <c r="Q2715" s="3">
        <v>0</v>
      </c>
      <c r="S2715" s="23" t="s">
        <v>5949</v>
      </c>
      <c r="T2715" s="23" t="s">
        <v>4929</v>
      </c>
      <c r="U2715" s="3">
        <v>34</v>
      </c>
      <c r="V2715" s="3" t="s">
        <v>6460</v>
      </c>
      <c r="W2715" s="45" t="str">
        <f>HYPERLINK("http://ictvonline.org/taxonomy/p/taxonomy-history?taxnode_id=201856491","ICTVonline=201856491")</f>
        <v>ICTVonline=201856491</v>
      </c>
      <c r="AA2715" s="1">
        <v>201850000</v>
      </c>
      <c r="AB2715" s="1">
        <v>34</v>
      </c>
    </row>
    <row r="2716" spans="1:28" x14ac:dyDescent="0.15">
      <c r="A2716" s="1">
        <v>6913</v>
      </c>
      <c r="J2716" s="1" t="s">
        <v>1332</v>
      </c>
      <c r="L2716" s="1" t="s">
        <v>900</v>
      </c>
      <c r="N2716" s="1" t="s">
        <v>6458</v>
      </c>
      <c r="P2716" s="1" t="s">
        <v>6461</v>
      </c>
      <c r="Q2716" s="3">
        <v>1</v>
      </c>
      <c r="S2716" s="23" t="s">
        <v>5949</v>
      </c>
      <c r="T2716" s="23" t="s">
        <v>4929</v>
      </c>
      <c r="U2716" s="3">
        <v>34</v>
      </c>
      <c r="V2716" s="3" t="s">
        <v>6460</v>
      </c>
      <c r="W2716" s="45" t="str">
        <f>HYPERLINK("http://ictvonline.org/taxonomy/p/taxonomy-history?taxnode_id=201856490","ICTVonline=201856490")</f>
        <v>ICTVonline=201856490</v>
      </c>
      <c r="AA2716" s="1">
        <v>201850000</v>
      </c>
      <c r="AB2716" s="1">
        <v>34</v>
      </c>
    </row>
    <row r="2717" spans="1:28" x14ac:dyDescent="0.15">
      <c r="A2717" s="1">
        <v>6917</v>
      </c>
      <c r="J2717" s="1" t="s">
        <v>1332</v>
      </c>
      <c r="L2717" s="1" t="s">
        <v>900</v>
      </c>
      <c r="N2717" s="1" t="s">
        <v>6462</v>
      </c>
      <c r="P2717" s="1" t="s">
        <v>4296</v>
      </c>
      <c r="Q2717" s="3">
        <v>1</v>
      </c>
      <c r="S2717" s="23" t="s">
        <v>5949</v>
      </c>
      <c r="T2717" s="23" t="s">
        <v>4931</v>
      </c>
      <c r="U2717" s="3">
        <v>34</v>
      </c>
      <c r="W2717" s="45" t="str">
        <f>HYPERLINK("http://ictvonline.org/taxonomy/p/taxonomy-history?taxnode_id=201850633","ICTVonline=201850633")</f>
        <v>ICTVonline=201850633</v>
      </c>
      <c r="AA2717" s="1">
        <v>201850000</v>
      </c>
      <c r="AB2717" s="1">
        <v>34</v>
      </c>
    </row>
    <row r="2718" spans="1:28" x14ac:dyDescent="0.15">
      <c r="A2718" s="1">
        <v>6919</v>
      </c>
      <c r="J2718" s="1" t="s">
        <v>1332</v>
      </c>
      <c r="L2718" s="1" t="s">
        <v>900</v>
      </c>
      <c r="N2718" s="1" t="s">
        <v>6462</v>
      </c>
      <c r="P2718" s="1" t="s">
        <v>4297</v>
      </c>
      <c r="Q2718" s="3">
        <v>0</v>
      </c>
      <c r="S2718" s="23" t="s">
        <v>5949</v>
      </c>
      <c r="T2718" s="23" t="s">
        <v>4931</v>
      </c>
      <c r="U2718" s="3">
        <v>34</v>
      </c>
      <c r="W2718" s="45" t="str">
        <f>HYPERLINK("http://ictvonline.org/taxonomy/p/taxonomy-history?taxnode_id=201850634","ICTVonline=201850634")</f>
        <v>ICTVonline=201850634</v>
      </c>
      <c r="AA2718" s="1">
        <v>201850000</v>
      </c>
      <c r="AB2718" s="1">
        <v>34</v>
      </c>
    </row>
    <row r="2719" spans="1:28" x14ac:dyDescent="0.15">
      <c r="A2719" s="1">
        <v>6923</v>
      </c>
      <c r="J2719" s="1" t="s">
        <v>1332</v>
      </c>
      <c r="L2719" s="1" t="s">
        <v>900</v>
      </c>
      <c r="N2719" s="1" t="s">
        <v>5023</v>
      </c>
      <c r="P2719" s="1" t="s">
        <v>5024</v>
      </c>
      <c r="Q2719" s="3">
        <v>0</v>
      </c>
      <c r="S2719" s="23" t="s">
        <v>5949</v>
      </c>
      <c r="W2719" s="45" t="str">
        <f>HYPERLINK("http://ictvonline.org/taxonomy/p/taxonomy-history?taxnode_id=201855490","ICTVonline=201855490")</f>
        <v>ICTVonline=201855490</v>
      </c>
      <c r="AA2719" s="1">
        <v>201850000</v>
      </c>
      <c r="AB2719" s="1">
        <v>34</v>
      </c>
    </row>
    <row r="2720" spans="1:28" x14ac:dyDescent="0.15">
      <c r="A2720" s="1">
        <v>6925</v>
      </c>
      <c r="J2720" s="1" t="s">
        <v>1332</v>
      </c>
      <c r="L2720" s="1" t="s">
        <v>900</v>
      </c>
      <c r="N2720" s="1" t="s">
        <v>5023</v>
      </c>
      <c r="P2720" s="1" t="s">
        <v>5025</v>
      </c>
      <c r="Q2720" s="3">
        <v>1</v>
      </c>
      <c r="S2720" s="23" t="s">
        <v>5949</v>
      </c>
      <c r="W2720" s="45" t="str">
        <f>HYPERLINK("http://ictvonline.org/taxonomy/p/taxonomy-history?taxnode_id=201855491","ICTVonline=201855491")</f>
        <v>ICTVonline=201855491</v>
      </c>
      <c r="AA2720" s="1">
        <v>201850000</v>
      </c>
      <c r="AB2720" s="1">
        <v>34</v>
      </c>
    </row>
    <row r="2721" spans="1:28" x14ac:dyDescent="0.15">
      <c r="A2721" s="1">
        <v>6929</v>
      </c>
      <c r="J2721" s="1" t="s">
        <v>1332</v>
      </c>
      <c r="L2721" s="1" t="s">
        <v>900</v>
      </c>
      <c r="N2721" s="1" t="s">
        <v>6463</v>
      </c>
      <c r="P2721" s="1" t="s">
        <v>4299</v>
      </c>
      <c r="Q2721" s="3">
        <v>1</v>
      </c>
      <c r="S2721" s="23" t="s">
        <v>5949</v>
      </c>
      <c r="T2721" s="23" t="s">
        <v>4931</v>
      </c>
      <c r="U2721" s="3">
        <v>34</v>
      </c>
      <c r="W2721" s="45" t="str">
        <f>HYPERLINK("http://ictvonline.org/taxonomy/p/taxonomy-history?taxnode_id=201850652","ICTVonline=201850652")</f>
        <v>ICTVonline=201850652</v>
      </c>
      <c r="AA2721" s="1">
        <v>201850000</v>
      </c>
      <c r="AB2721" s="1">
        <v>34</v>
      </c>
    </row>
    <row r="2722" spans="1:28" x14ac:dyDescent="0.15">
      <c r="A2722" s="1">
        <v>6933</v>
      </c>
      <c r="J2722" s="1" t="s">
        <v>1332</v>
      </c>
      <c r="L2722" s="1" t="s">
        <v>900</v>
      </c>
      <c r="N2722" s="1" t="s">
        <v>6464</v>
      </c>
      <c r="P2722" s="1" t="s">
        <v>4300</v>
      </c>
      <c r="Q2722" s="3">
        <v>1</v>
      </c>
      <c r="S2722" s="23" t="s">
        <v>5949</v>
      </c>
      <c r="T2722" s="23" t="s">
        <v>4931</v>
      </c>
      <c r="U2722" s="3">
        <v>34</v>
      </c>
      <c r="W2722" s="45" t="str">
        <f>HYPERLINK("http://ictvonline.org/taxonomy/p/taxonomy-history?taxnode_id=201850654","ICTVonline=201850654")</f>
        <v>ICTVonline=201850654</v>
      </c>
      <c r="AA2722" s="1">
        <v>201850000</v>
      </c>
      <c r="AB2722" s="1">
        <v>34</v>
      </c>
    </row>
    <row r="2723" spans="1:28" x14ac:dyDescent="0.15">
      <c r="A2723" s="1">
        <v>6935</v>
      </c>
      <c r="J2723" s="1" t="s">
        <v>1332</v>
      </c>
      <c r="L2723" s="1" t="s">
        <v>900</v>
      </c>
      <c r="N2723" s="1" t="s">
        <v>6464</v>
      </c>
      <c r="P2723" s="1" t="s">
        <v>4301</v>
      </c>
      <c r="Q2723" s="3">
        <v>0</v>
      </c>
      <c r="S2723" s="23" t="s">
        <v>5949</v>
      </c>
      <c r="T2723" s="23" t="s">
        <v>4931</v>
      </c>
      <c r="U2723" s="3">
        <v>34</v>
      </c>
      <c r="W2723" s="45" t="str">
        <f>HYPERLINK("http://ictvonline.org/taxonomy/p/taxonomy-history?taxnode_id=201850655","ICTVonline=201850655")</f>
        <v>ICTVonline=201850655</v>
      </c>
      <c r="AA2723" s="1">
        <v>201850000</v>
      </c>
      <c r="AB2723" s="1">
        <v>34</v>
      </c>
    </row>
    <row r="2724" spans="1:28" x14ac:dyDescent="0.15">
      <c r="A2724" s="1">
        <v>6939</v>
      </c>
      <c r="J2724" s="1" t="s">
        <v>1332</v>
      </c>
      <c r="L2724" s="1" t="s">
        <v>900</v>
      </c>
      <c r="N2724" s="1" t="s">
        <v>6465</v>
      </c>
      <c r="P2724" s="1" t="s">
        <v>6466</v>
      </c>
      <c r="Q2724" s="3">
        <v>1</v>
      </c>
      <c r="S2724" s="23" t="s">
        <v>5949</v>
      </c>
      <c r="T2724" s="23" t="s">
        <v>4929</v>
      </c>
      <c r="U2724" s="3">
        <v>34</v>
      </c>
      <c r="V2724" s="3" t="s">
        <v>6467</v>
      </c>
      <c r="W2724" s="45" t="str">
        <f>HYPERLINK("http://ictvonline.org/taxonomy/p/taxonomy-history?taxnode_id=201856843","ICTVonline=201856843")</f>
        <v>ICTVonline=201856843</v>
      </c>
      <c r="AA2724" s="1">
        <v>201850000</v>
      </c>
      <c r="AB2724" s="1">
        <v>34</v>
      </c>
    </row>
    <row r="2725" spans="1:28" x14ac:dyDescent="0.15">
      <c r="A2725" s="1">
        <v>6943</v>
      </c>
      <c r="J2725" s="1" t="s">
        <v>1332</v>
      </c>
      <c r="L2725" s="1" t="s">
        <v>900</v>
      </c>
      <c r="N2725" s="1" t="s">
        <v>6468</v>
      </c>
      <c r="P2725" s="1" t="s">
        <v>4304</v>
      </c>
      <c r="Q2725" s="3">
        <v>0</v>
      </c>
      <c r="S2725" s="23" t="s">
        <v>5949</v>
      </c>
      <c r="T2725" s="23" t="s">
        <v>4931</v>
      </c>
      <c r="U2725" s="3">
        <v>34</v>
      </c>
      <c r="W2725" s="45" t="str">
        <f>HYPERLINK("http://ictvonline.org/taxonomy/p/taxonomy-history?taxnode_id=201850688","ICTVonline=201850688")</f>
        <v>ICTVonline=201850688</v>
      </c>
      <c r="AA2725" s="1">
        <v>201850000</v>
      </c>
      <c r="AB2725" s="1">
        <v>34</v>
      </c>
    </row>
    <row r="2726" spans="1:28" x14ac:dyDescent="0.15">
      <c r="A2726" s="1">
        <v>6945</v>
      </c>
      <c r="J2726" s="1" t="s">
        <v>1332</v>
      </c>
      <c r="L2726" s="1" t="s">
        <v>900</v>
      </c>
      <c r="N2726" s="1" t="s">
        <v>6468</v>
      </c>
      <c r="P2726" s="1" t="s">
        <v>3042</v>
      </c>
      <c r="Q2726" s="3">
        <v>0</v>
      </c>
      <c r="S2726" s="23" t="s">
        <v>5949</v>
      </c>
      <c r="T2726" s="23" t="s">
        <v>4931</v>
      </c>
      <c r="U2726" s="3">
        <v>34</v>
      </c>
      <c r="W2726" s="45" t="str">
        <f>HYPERLINK("http://ictvonline.org/taxonomy/p/taxonomy-history?taxnode_id=201850689","ICTVonline=201850689")</f>
        <v>ICTVonline=201850689</v>
      </c>
      <c r="AA2726" s="1">
        <v>201850000</v>
      </c>
      <c r="AB2726" s="1">
        <v>34</v>
      </c>
    </row>
    <row r="2727" spans="1:28" x14ac:dyDescent="0.15">
      <c r="A2727" s="1">
        <v>6947</v>
      </c>
      <c r="J2727" s="1" t="s">
        <v>1332</v>
      </c>
      <c r="L2727" s="1" t="s">
        <v>900</v>
      </c>
      <c r="N2727" s="1" t="s">
        <v>6468</v>
      </c>
      <c r="P2727" s="1" t="s">
        <v>3043</v>
      </c>
      <c r="Q2727" s="3">
        <v>0</v>
      </c>
      <c r="S2727" s="23" t="s">
        <v>5949</v>
      </c>
      <c r="T2727" s="23" t="s">
        <v>4931</v>
      </c>
      <c r="U2727" s="3">
        <v>34</v>
      </c>
      <c r="W2727" s="45" t="str">
        <f>HYPERLINK("http://ictvonline.org/taxonomy/p/taxonomy-history?taxnode_id=201850690","ICTVonline=201850690")</f>
        <v>ICTVonline=201850690</v>
      </c>
      <c r="AA2727" s="1">
        <v>201850000</v>
      </c>
      <c r="AB2727" s="1">
        <v>34</v>
      </c>
    </row>
    <row r="2728" spans="1:28" x14ac:dyDescent="0.15">
      <c r="A2728" s="1">
        <v>6949</v>
      </c>
      <c r="J2728" s="1" t="s">
        <v>1332</v>
      </c>
      <c r="L2728" s="1" t="s">
        <v>900</v>
      </c>
      <c r="N2728" s="1" t="s">
        <v>6468</v>
      </c>
      <c r="P2728" s="1" t="s">
        <v>3044</v>
      </c>
      <c r="Q2728" s="3">
        <v>1</v>
      </c>
      <c r="S2728" s="23" t="s">
        <v>5949</v>
      </c>
      <c r="T2728" s="23" t="s">
        <v>4931</v>
      </c>
      <c r="U2728" s="3">
        <v>34</v>
      </c>
      <c r="W2728" s="45" t="str">
        <f>HYPERLINK("http://ictvonline.org/taxonomy/p/taxonomy-history?taxnode_id=201850691","ICTVonline=201850691")</f>
        <v>ICTVonline=201850691</v>
      </c>
      <c r="AA2728" s="1">
        <v>201850000</v>
      </c>
      <c r="AB2728" s="1">
        <v>34</v>
      </c>
    </row>
    <row r="2729" spans="1:28" x14ac:dyDescent="0.15">
      <c r="A2729" s="1">
        <v>6951</v>
      </c>
      <c r="J2729" s="1" t="s">
        <v>1332</v>
      </c>
      <c r="L2729" s="1" t="s">
        <v>900</v>
      </c>
      <c r="N2729" s="1" t="s">
        <v>6468</v>
      </c>
      <c r="P2729" s="1" t="s">
        <v>3045</v>
      </c>
      <c r="Q2729" s="3">
        <v>0</v>
      </c>
      <c r="S2729" s="23" t="s">
        <v>5949</v>
      </c>
      <c r="T2729" s="23" t="s">
        <v>4931</v>
      </c>
      <c r="U2729" s="3">
        <v>34</v>
      </c>
      <c r="W2729" s="45" t="str">
        <f>HYPERLINK("http://ictvonline.org/taxonomy/p/taxonomy-history?taxnode_id=201850692","ICTVonline=201850692")</f>
        <v>ICTVonline=201850692</v>
      </c>
      <c r="AA2729" s="1">
        <v>201850000</v>
      </c>
      <c r="AB2729" s="1">
        <v>34</v>
      </c>
    </row>
    <row r="2730" spans="1:28" x14ac:dyDescent="0.15">
      <c r="A2730" s="1">
        <v>6953</v>
      </c>
      <c r="J2730" s="1" t="s">
        <v>1332</v>
      </c>
      <c r="L2730" s="1" t="s">
        <v>900</v>
      </c>
      <c r="N2730" s="1" t="s">
        <v>6468</v>
      </c>
      <c r="P2730" s="1" t="s">
        <v>3046</v>
      </c>
      <c r="Q2730" s="3">
        <v>0</v>
      </c>
      <c r="S2730" s="23" t="s">
        <v>5949</v>
      </c>
      <c r="T2730" s="23" t="s">
        <v>4931</v>
      </c>
      <c r="U2730" s="3">
        <v>34</v>
      </c>
      <c r="W2730" s="45" t="str">
        <f>HYPERLINK("http://ictvonline.org/taxonomy/p/taxonomy-history?taxnode_id=201850693","ICTVonline=201850693")</f>
        <v>ICTVonline=201850693</v>
      </c>
      <c r="AA2730" s="1">
        <v>201850000</v>
      </c>
      <c r="AB2730" s="1">
        <v>34</v>
      </c>
    </row>
    <row r="2731" spans="1:28" x14ac:dyDescent="0.15">
      <c r="A2731" s="1">
        <v>6957</v>
      </c>
      <c r="J2731" s="1" t="s">
        <v>1332</v>
      </c>
      <c r="L2731" s="1" t="s">
        <v>900</v>
      </c>
      <c r="N2731" s="1" t="s">
        <v>6469</v>
      </c>
      <c r="P2731" s="1" t="s">
        <v>5026</v>
      </c>
      <c r="Q2731" s="3">
        <v>0</v>
      </c>
      <c r="S2731" s="23" t="s">
        <v>5949</v>
      </c>
      <c r="T2731" s="23" t="s">
        <v>4931</v>
      </c>
      <c r="U2731" s="3">
        <v>34</v>
      </c>
      <c r="W2731" s="45" t="str">
        <f>HYPERLINK("http://ictvonline.org/taxonomy/p/taxonomy-history?taxnode_id=201855493","ICTVonline=201855493")</f>
        <v>ICTVonline=201855493</v>
      </c>
      <c r="AA2731" s="1">
        <v>201850000</v>
      </c>
      <c r="AB2731" s="1">
        <v>34</v>
      </c>
    </row>
    <row r="2732" spans="1:28" x14ac:dyDescent="0.15">
      <c r="A2732" s="1">
        <v>6959</v>
      </c>
      <c r="J2732" s="1" t="s">
        <v>1332</v>
      </c>
      <c r="L2732" s="1" t="s">
        <v>900</v>
      </c>
      <c r="N2732" s="1" t="s">
        <v>6469</v>
      </c>
      <c r="P2732" s="1" t="s">
        <v>3032</v>
      </c>
      <c r="Q2732" s="3">
        <v>0</v>
      </c>
      <c r="S2732" s="23" t="s">
        <v>5949</v>
      </c>
      <c r="T2732" s="23" t="s">
        <v>4931</v>
      </c>
      <c r="U2732" s="3">
        <v>34</v>
      </c>
      <c r="W2732" s="45" t="str">
        <f>HYPERLINK("http://ictvonline.org/taxonomy/p/taxonomy-history?taxnode_id=201850677","ICTVonline=201850677")</f>
        <v>ICTVonline=201850677</v>
      </c>
      <c r="AA2732" s="1">
        <v>201850000</v>
      </c>
      <c r="AB2732" s="1">
        <v>34</v>
      </c>
    </row>
    <row r="2733" spans="1:28" x14ac:dyDescent="0.15">
      <c r="A2733" s="1">
        <v>6961</v>
      </c>
      <c r="J2733" s="1" t="s">
        <v>1332</v>
      </c>
      <c r="L2733" s="1" t="s">
        <v>900</v>
      </c>
      <c r="N2733" s="1" t="s">
        <v>6469</v>
      </c>
      <c r="P2733" s="1" t="s">
        <v>3033</v>
      </c>
      <c r="Q2733" s="3">
        <v>1</v>
      </c>
      <c r="S2733" s="23" t="s">
        <v>5949</v>
      </c>
      <c r="T2733" s="23" t="s">
        <v>4931</v>
      </c>
      <c r="U2733" s="3">
        <v>34</v>
      </c>
      <c r="W2733" s="45" t="str">
        <f>HYPERLINK("http://ictvonline.org/taxonomy/p/taxonomy-history?taxnode_id=201850678","ICTVonline=201850678")</f>
        <v>ICTVonline=201850678</v>
      </c>
      <c r="AA2733" s="1">
        <v>201850000</v>
      </c>
      <c r="AB2733" s="1">
        <v>34</v>
      </c>
    </row>
    <row r="2734" spans="1:28" x14ac:dyDescent="0.15">
      <c r="A2734" s="1">
        <v>6963</v>
      </c>
      <c r="J2734" s="1" t="s">
        <v>1332</v>
      </c>
      <c r="L2734" s="1" t="s">
        <v>900</v>
      </c>
      <c r="N2734" s="1" t="s">
        <v>6469</v>
      </c>
      <c r="P2734" s="1" t="s">
        <v>6470</v>
      </c>
      <c r="Q2734" s="3">
        <v>0</v>
      </c>
      <c r="S2734" s="23" t="s">
        <v>5949</v>
      </c>
      <c r="T2734" s="23" t="s">
        <v>4929</v>
      </c>
      <c r="U2734" s="3">
        <v>34</v>
      </c>
      <c r="V2734" s="3" t="s">
        <v>6239</v>
      </c>
      <c r="W2734" s="45" t="str">
        <f>HYPERLINK("http://ictvonline.org/taxonomy/p/taxonomy-history?taxnode_id=201857078","ICTVonline=201857078")</f>
        <v>ICTVonline=201857078</v>
      </c>
      <c r="AA2734" s="1">
        <v>201850000</v>
      </c>
      <c r="AB2734" s="1">
        <v>34</v>
      </c>
    </row>
    <row r="2735" spans="1:28" x14ac:dyDescent="0.15">
      <c r="A2735" s="1">
        <v>6965</v>
      </c>
      <c r="J2735" s="1" t="s">
        <v>1332</v>
      </c>
      <c r="L2735" s="1" t="s">
        <v>900</v>
      </c>
      <c r="N2735" s="1" t="s">
        <v>6469</v>
      </c>
      <c r="P2735" s="1" t="s">
        <v>3034</v>
      </c>
      <c r="Q2735" s="3">
        <v>0</v>
      </c>
      <c r="S2735" s="23" t="s">
        <v>5949</v>
      </c>
      <c r="T2735" s="23" t="s">
        <v>4931</v>
      </c>
      <c r="U2735" s="3">
        <v>34</v>
      </c>
      <c r="W2735" s="45" t="str">
        <f>HYPERLINK("http://ictvonline.org/taxonomy/p/taxonomy-history?taxnode_id=201850679","ICTVonline=201850679")</f>
        <v>ICTVonline=201850679</v>
      </c>
      <c r="AA2735" s="1">
        <v>201850000</v>
      </c>
      <c r="AB2735" s="1">
        <v>34</v>
      </c>
    </row>
    <row r="2736" spans="1:28" x14ac:dyDescent="0.15">
      <c r="A2736" s="1">
        <v>6967</v>
      </c>
      <c r="J2736" s="1" t="s">
        <v>1332</v>
      </c>
      <c r="L2736" s="1" t="s">
        <v>900</v>
      </c>
      <c r="N2736" s="1" t="s">
        <v>6469</v>
      </c>
      <c r="P2736" s="1" t="s">
        <v>3035</v>
      </c>
      <c r="Q2736" s="3">
        <v>0</v>
      </c>
      <c r="S2736" s="23" t="s">
        <v>5949</v>
      </c>
      <c r="T2736" s="23" t="s">
        <v>4931</v>
      </c>
      <c r="U2736" s="3">
        <v>34</v>
      </c>
      <c r="W2736" s="45" t="str">
        <f>HYPERLINK("http://ictvonline.org/taxonomy/p/taxonomy-history?taxnode_id=201850680","ICTVonline=201850680")</f>
        <v>ICTVonline=201850680</v>
      </c>
      <c r="AA2736" s="1">
        <v>201850000</v>
      </c>
      <c r="AB2736" s="1">
        <v>34</v>
      </c>
    </row>
    <row r="2737" spans="1:28" x14ac:dyDescent="0.15">
      <c r="A2737" s="1">
        <v>6971</v>
      </c>
      <c r="J2737" s="1" t="s">
        <v>1332</v>
      </c>
      <c r="L2737" s="1" t="s">
        <v>900</v>
      </c>
      <c r="N2737" s="1" t="s">
        <v>6471</v>
      </c>
      <c r="P2737" s="1" t="s">
        <v>2996</v>
      </c>
      <c r="Q2737" s="3">
        <v>1</v>
      </c>
      <c r="S2737" s="23" t="s">
        <v>5949</v>
      </c>
      <c r="T2737" s="23" t="s">
        <v>4931</v>
      </c>
      <c r="U2737" s="3">
        <v>34</v>
      </c>
      <c r="W2737" s="45" t="str">
        <f>HYPERLINK("http://ictvonline.org/taxonomy/p/taxonomy-history?taxnode_id=201850622","ICTVonline=201850622")</f>
        <v>ICTVonline=201850622</v>
      </c>
      <c r="AA2737" s="1">
        <v>201850000</v>
      </c>
      <c r="AB2737" s="1">
        <v>34</v>
      </c>
    </row>
    <row r="2738" spans="1:28" x14ac:dyDescent="0.15">
      <c r="A2738" s="1">
        <v>6973</v>
      </c>
      <c r="J2738" s="1" t="s">
        <v>1332</v>
      </c>
      <c r="L2738" s="1" t="s">
        <v>900</v>
      </c>
      <c r="N2738" s="1" t="s">
        <v>6471</v>
      </c>
      <c r="P2738" s="1" t="s">
        <v>2997</v>
      </c>
      <c r="Q2738" s="3">
        <v>0</v>
      </c>
      <c r="S2738" s="23" t="s">
        <v>5949</v>
      </c>
      <c r="T2738" s="23" t="s">
        <v>4931</v>
      </c>
      <c r="U2738" s="3">
        <v>34</v>
      </c>
      <c r="W2738" s="45" t="str">
        <f>HYPERLINK("http://ictvonline.org/taxonomy/p/taxonomy-history?taxnode_id=201850623","ICTVonline=201850623")</f>
        <v>ICTVonline=201850623</v>
      </c>
      <c r="AA2738" s="1">
        <v>201850000</v>
      </c>
      <c r="AB2738" s="1">
        <v>34</v>
      </c>
    </row>
    <row r="2739" spans="1:28" x14ac:dyDescent="0.15">
      <c r="A2739" s="1">
        <v>6975</v>
      </c>
      <c r="J2739" s="1" t="s">
        <v>1332</v>
      </c>
      <c r="L2739" s="1" t="s">
        <v>900</v>
      </c>
      <c r="N2739" s="1" t="s">
        <v>6471</v>
      </c>
      <c r="P2739" s="1" t="s">
        <v>2998</v>
      </c>
      <c r="Q2739" s="3">
        <v>0</v>
      </c>
      <c r="S2739" s="23" t="s">
        <v>5949</v>
      </c>
      <c r="T2739" s="23" t="s">
        <v>4931</v>
      </c>
      <c r="U2739" s="3">
        <v>34</v>
      </c>
      <c r="W2739" s="45" t="str">
        <f>HYPERLINK("http://ictvonline.org/taxonomy/p/taxonomy-history?taxnode_id=201850624","ICTVonline=201850624")</f>
        <v>ICTVonline=201850624</v>
      </c>
      <c r="AA2739" s="1">
        <v>201850000</v>
      </c>
      <c r="AB2739" s="1">
        <v>34</v>
      </c>
    </row>
    <row r="2740" spans="1:28" x14ac:dyDescent="0.15">
      <c r="A2740" s="1">
        <v>6977</v>
      </c>
      <c r="J2740" s="1" t="s">
        <v>1332</v>
      </c>
      <c r="L2740" s="1" t="s">
        <v>900</v>
      </c>
      <c r="N2740" s="1" t="s">
        <v>6471</v>
      </c>
      <c r="P2740" s="1" t="s">
        <v>2999</v>
      </c>
      <c r="Q2740" s="3">
        <v>0</v>
      </c>
      <c r="S2740" s="23" t="s">
        <v>5949</v>
      </c>
      <c r="T2740" s="23" t="s">
        <v>4931</v>
      </c>
      <c r="U2740" s="3">
        <v>34</v>
      </c>
      <c r="W2740" s="45" t="str">
        <f>HYPERLINK("http://ictvonline.org/taxonomy/p/taxonomy-history?taxnode_id=201850625","ICTVonline=201850625")</f>
        <v>ICTVonline=201850625</v>
      </c>
      <c r="AA2740" s="1">
        <v>201850000</v>
      </c>
      <c r="AB2740" s="1">
        <v>34</v>
      </c>
    </row>
    <row r="2741" spans="1:28" x14ac:dyDescent="0.15">
      <c r="A2741" s="1">
        <v>6981</v>
      </c>
      <c r="J2741" s="1" t="s">
        <v>1332</v>
      </c>
      <c r="L2741" s="1" t="s">
        <v>900</v>
      </c>
      <c r="N2741" s="1" t="s">
        <v>6472</v>
      </c>
      <c r="P2741" s="1" t="s">
        <v>3002</v>
      </c>
      <c r="Q2741" s="3">
        <v>1</v>
      </c>
      <c r="S2741" s="23" t="s">
        <v>5949</v>
      </c>
      <c r="T2741" s="23" t="s">
        <v>4931</v>
      </c>
      <c r="U2741" s="3">
        <v>34</v>
      </c>
      <c r="W2741" s="45" t="str">
        <f>HYPERLINK("http://ictvonline.org/taxonomy/p/taxonomy-history?taxnode_id=201850630","ICTVonline=201850630")</f>
        <v>ICTVonline=201850630</v>
      </c>
      <c r="AA2741" s="1">
        <v>201850000</v>
      </c>
      <c r="AB2741" s="1">
        <v>34</v>
      </c>
    </row>
    <row r="2742" spans="1:28" x14ac:dyDescent="0.15">
      <c r="A2742" s="1">
        <v>6983</v>
      </c>
      <c r="J2742" s="1" t="s">
        <v>1332</v>
      </c>
      <c r="L2742" s="1" t="s">
        <v>900</v>
      </c>
      <c r="N2742" s="1" t="s">
        <v>6472</v>
      </c>
      <c r="P2742" s="1" t="s">
        <v>3003</v>
      </c>
      <c r="Q2742" s="3">
        <v>0</v>
      </c>
      <c r="S2742" s="23" t="s">
        <v>5949</v>
      </c>
      <c r="T2742" s="23" t="s">
        <v>4931</v>
      </c>
      <c r="U2742" s="3">
        <v>34</v>
      </c>
      <c r="W2742" s="45" t="str">
        <f>HYPERLINK("http://ictvonline.org/taxonomy/p/taxonomy-history?taxnode_id=201850631","ICTVonline=201850631")</f>
        <v>ICTVonline=201850631</v>
      </c>
      <c r="AA2742" s="1">
        <v>201850000</v>
      </c>
      <c r="AB2742" s="1">
        <v>34</v>
      </c>
    </row>
    <row r="2743" spans="1:28" x14ac:dyDescent="0.15">
      <c r="A2743" s="1">
        <v>6987</v>
      </c>
      <c r="J2743" s="1" t="s">
        <v>1332</v>
      </c>
      <c r="L2743" s="1" t="s">
        <v>900</v>
      </c>
      <c r="N2743" s="1" t="s">
        <v>6473</v>
      </c>
      <c r="P2743" s="1" t="s">
        <v>3018</v>
      </c>
      <c r="Q2743" s="3">
        <v>0</v>
      </c>
      <c r="S2743" s="23" t="s">
        <v>5949</v>
      </c>
      <c r="T2743" s="23" t="s">
        <v>4931</v>
      </c>
      <c r="U2743" s="3">
        <v>34</v>
      </c>
      <c r="W2743" s="45" t="str">
        <f>HYPERLINK("http://ictvonline.org/taxonomy/p/taxonomy-history?taxnode_id=201850657","ICTVonline=201850657")</f>
        <v>ICTVonline=201850657</v>
      </c>
      <c r="AA2743" s="1">
        <v>201850000</v>
      </c>
      <c r="AB2743" s="1">
        <v>34</v>
      </c>
    </row>
    <row r="2744" spans="1:28" x14ac:dyDescent="0.15">
      <c r="A2744" s="1">
        <v>6989</v>
      </c>
      <c r="J2744" s="1" t="s">
        <v>1332</v>
      </c>
      <c r="L2744" s="1" t="s">
        <v>900</v>
      </c>
      <c r="N2744" s="1" t="s">
        <v>6473</v>
      </c>
      <c r="P2744" s="1" t="s">
        <v>3019</v>
      </c>
      <c r="Q2744" s="3">
        <v>1</v>
      </c>
      <c r="S2744" s="23" t="s">
        <v>5949</v>
      </c>
      <c r="T2744" s="23" t="s">
        <v>4931</v>
      </c>
      <c r="U2744" s="3">
        <v>34</v>
      </c>
      <c r="W2744" s="45" t="str">
        <f>HYPERLINK("http://ictvonline.org/taxonomy/p/taxonomy-history?taxnode_id=201850658","ICTVonline=201850658")</f>
        <v>ICTVonline=201850658</v>
      </c>
      <c r="AA2744" s="1">
        <v>201850000</v>
      </c>
      <c r="AB2744" s="1">
        <v>34</v>
      </c>
    </row>
    <row r="2745" spans="1:28" x14ac:dyDescent="0.15">
      <c r="A2745" s="1">
        <v>6991</v>
      </c>
      <c r="J2745" s="1" t="s">
        <v>1332</v>
      </c>
      <c r="L2745" s="1" t="s">
        <v>900</v>
      </c>
      <c r="N2745" s="1" t="s">
        <v>6473</v>
      </c>
      <c r="P2745" s="1" t="s">
        <v>3020</v>
      </c>
      <c r="Q2745" s="3">
        <v>0</v>
      </c>
      <c r="S2745" s="23" t="s">
        <v>5949</v>
      </c>
      <c r="T2745" s="23" t="s">
        <v>4931</v>
      </c>
      <c r="U2745" s="3">
        <v>34</v>
      </c>
      <c r="W2745" s="45" t="str">
        <f>HYPERLINK("http://ictvonline.org/taxonomy/p/taxonomy-history?taxnode_id=201850659","ICTVonline=201850659")</f>
        <v>ICTVonline=201850659</v>
      </c>
      <c r="AA2745" s="1">
        <v>201850000</v>
      </c>
      <c r="AB2745" s="1">
        <v>34</v>
      </c>
    </row>
    <row r="2746" spans="1:28" x14ac:dyDescent="0.15">
      <c r="A2746" s="1">
        <v>6995</v>
      </c>
      <c r="J2746" s="1" t="s">
        <v>1332</v>
      </c>
      <c r="L2746" s="1" t="s">
        <v>900</v>
      </c>
      <c r="N2746" s="1" t="s">
        <v>6474</v>
      </c>
      <c r="P2746" s="1" t="s">
        <v>4302</v>
      </c>
      <c r="Q2746" s="3">
        <v>0</v>
      </c>
      <c r="S2746" s="23" t="s">
        <v>5949</v>
      </c>
      <c r="T2746" s="23" t="s">
        <v>4931</v>
      </c>
      <c r="U2746" s="3">
        <v>34</v>
      </c>
      <c r="W2746" s="45" t="str">
        <f>HYPERLINK("http://ictvonline.org/taxonomy/p/taxonomy-history?taxnode_id=201850669","ICTVonline=201850669")</f>
        <v>ICTVonline=201850669</v>
      </c>
      <c r="AA2746" s="1">
        <v>201850000</v>
      </c>
      <c r="AB2746" s="1">
        <v>34</v>
      </c>
    </row>
    <row r="2747" spans="1:28" x14ac:dyDescent="0.15">
      <c r="A2747" s="1">
        <v>6997</v>
      </c>
      <c r="J2747" s="1" t="s">
        <v>1332</v>
      </c>
      <c r="L2747" s="1" t="s">
        <v>900</v>
      </c>
      <c r="N2747" s="1" t="s">
        <v>6474</v>
      </c>
      <c r="P2747" s="1" t="s">
        <v>4303</v>
      </c>
      <c r="Q2747" s="3">
        <v>1</v>
      </c>
      <c r="S2747" s="23" t="s">
        <v>5949</v>
      </c>
      <c r="T2747" s="23" t="s">
        <v>4931</v>
      </c>
      <c r="U2747" s="3">
        <v>34</v>
      </c>
      <c r="W2747" s="45" t="str">
        <f>HYPERLINK("http://ictvonline.org/taxonomy/p/taxonomy-history?taxnode_id=201850670","ICTVonline=201850670")</f>
        <v>ICTVonline=201850670</v>
      </c>
      <c r="AA2747" s="1">
        <v>201850000</v>
      </c>
      <c r="AB2747" s="1">
        <v>34</v>
      </c>
    </row>
    <row r="2748" spans="1:28" x14ac:dyDescent="0.15">
      <c r="A2748" s="1">
        <v>7001</v>
      </c>
      <c r="J2748" s="1" t="s">
        <v>1332</v>
      </c>
      <c r="L2748" s="1" t="s">
        <v>900</v>
      </c>
      <c r="N2748" s="1" t="s">
        <v>6475</v>
      </c>
      <c r="P2748" s="1" t="s">
        <v>6476</v>
      </c>
      <c r="Q2748" s="3">
        <v>1</v>
      </c>
      <c r="S2748" s="23" t="s">
        <v>5949</v>
      </c>
      <c r="T2748" s="23" t="s">
        <v>4929</v>
      </c>
      <c r="U2748" s="3">
        <v>34</v>
      </c>
      <c r="V2748" s="3" t="s">
        <v>6477</v>
      </c>
      <c r="W2748" s="45" t="str">
        <f>HYPERLINK("http://ictvonline.org/taxonomy/p/taxonomy-history?taxnode_id=201856850","ICTVonline=201856850")</f>
        <v>ICTVonline=201856850</v>
      </c>
      <c r="AA2748" s="1">
        <v>201850000</v>
      </c>
      <c r="AB2748" s="1">
        <v>34</v>
      </c>
    </row>
    <row r="2749" spans="1:28" x14ac:dyDescent="0.15">
      <c r="A2749" s="1">
        <v>7005</v>
      </c>
      <c r="J2749" s="1" t="s">
        <v>1332</v>
      </c>
      <c r="L2749" s="1" t="s">
        <v>900</v>
      </c>
      <c r="N2749" s="1" t="s">
        <v>3036</v>
      </c>
      <c r="P2749" s="1" t="s">
        <v>3037</v>
      </c>
      <c r="Q2749" s="3">
        <v>1</v>
      </c>
      <c r="S2749" s="23" t="s">
        <v>5949</v>
      </c>
      <c r="W2749" s="45" t="str">
        <f>HYPERLINK("http://ictvonline.org/taxonomy/p/taxonomy-history?taxnode_id=201850682","ICTVonline=201850682")</f>
        <v>ICTVonline=201850682</v>
      </c>
      <c r="AA2749" s="1">
        <v>201850000</v>
      </c>
      <c r="AB2749" s="1">
        <v>34</v>
      </c>
    </row>
    <row r="2750" spans="1:28" x14ac:dyDescent="0.15">
      <c r="A2750" s="1">
        <v>7007</v>
      </c>
      <c r="J2750" s="1" t="s">
        <v>1332</v>
      </c>
      <c r="L2750" s="1" t="s">
        <v>900</v>
      </c>
      <c r="N2750" s="1" t="s">
        <v>3036</v>
      </c>
      <c r="P2750" s="1" t="s">
        <v>3038</v>
      </c>
      <c r="Q2750" s="3">
        <v>0</v>
      </c>
      <c r="S2750" s="23" t="s">
        <v>5949</v>
      </c>
      <c r="W2750" s="45" t="str">
        <f>HYPERLINK("http://ictvonline.org/taxonomy/p/taxonomy-history?taxnode_id=201850683","ICTVonline=201850683")</f>
        <v>ICTVonline=201850683</v>
      </c>
      <c r="AA2750" s="1">
        <v>201850000</v>
      </c>
      <c r="AB2750" s="1">
        <v>34</v>
      </c>
    </row>
    <row r="2751" spans="1:28" x14ac:dyDescent="0.15">
      <c r="A2751" s="1">
        <v>7009</v>
      </c>
      <c r="J2751" s="1" t="s">
        <v>1332</v>
      </c>
      <c r="L2751" s="1" t="s">
        <v>900</v>
      </c>
      <c r="N2751" s="1" t="s">
        <v>3036</v>
      </c>
      <c r="P2751" s="1" t="s">
        <v>3039</v>
      </c>
      <c r="Q2751" s="3">
        <v>0</v>
      </c>
      <c r="S2751" s="23" t="s">
        <v>5949</v>
      </c>
      <c r="W2751" s="45" t="str">
        <f>HYPERLINK("http://ictvonline.org/taxonomy/p/taxonomy-history?taxnode_id=201850684","ICTVonline=201850684")</f>
        <v>ICTVonline=201850684</v>
      </c>
      <c r="AA2751" s="1">
        <v>201850000</v>
      </c>
      <c r="AB2751" s="1">
        <v>34</v>
      </c>
    </row>
    <row r="2752" spans="1:28" x14ac:dyDescent="0.15">
      <c r="A2752" s="1">
        <v>7011</v>
      </c>
      <c r="J2752" s="1" t="s">
        <v>1332</v>
      </c>
      <c r="L2752" s="1" t="s">
        <v>900</v>
      </c>
      <c r="N2752" s="1" t="s">
        <v>3036</v>
      </c>
      <c r="P2752" s="1" t="s">
        <v>3040</v>
      </c>
      <c r="Q2752" s="3">
        <v>0</v>
      </c>
      <c r="S2752" s="23" t="s">
        <v>5949</v>
      </c>
      <c r="W2752" s="45" t="str">
        <f>HYPERLINK("http://ictvonline.org/taxonomy/p/taxonomy-history?taxnode_id=201850685","ICTVonline=201850685")</f>
        <v>ICTVonline=201850685</v>
      </c>
      <c r="AA2752" s="1">
        <v>201850000</v>
      </c>
      <c r="AB2752" s="1">
        <v>34</v>
      </c>
    </row>
    <row r="2753" spans="1:28" x14ac:dyDescent="0.15">
      <c r="A2753" s="1">
        <v>7013</v>
      </c>
      <c r="J2753" s="1" t="s">
        <v>1332</v>
      </c>
      <c r="L2753" s="1" t="s">
        <v>900</v>
      </c>
      <c r="N2753" s="1" t="s">
        <v>3036</v>
      </c>
      <c r="P2753" s="1" t="s">
        <v>3041</v>
      </c>
      <c r="Q2753" s="3">
        <v>0</v>
      </c>
      <c r="S2753" s="23" t="s">
        <v>5949</v>
      </c>
      <c r="W2753" s="45" t="str">
        <f>HYPERLINK("http://ictvonline.org/taxonomy/p/taxonomy-history?taxnode_id=201850686","ICTVonline=201850686")</f>
        <v>ICTVonline=201850686</v>
      </c>
      <c r="AA2753" s="1">
        <v>201850000</v>
      </c>
      <c r="AB2753" s="1">
        <v>34</v>
      </c>
    </row>
    <row r="2754" spans="1:28" x14ac:dyDescent="0.15">
      <c r="A2754" s="1">
        <v>7017</v>
      </c>
      <c r="J2754" s="1" t="s">
        <v>1332</v>
      </c>
      <c r="L2754" s="1" t="s">
        <v>900</v>
      </c>
      <c r="N2754" s="1" t="s">
        <v>6478</v>
      </c>
      <c r="P2754" s="1" t="s">
        <v>4305</v>
      </c>
      <c r="Q2754" s="3">
        <v>1</v>
      </c>
      <c r="S2754" s="23" t="s">
        <v>5949</v>
      </c>
      <c r="T2754" s="23" t="s">
        <v>4931</v>
      </c>
      <c r="U2754" s="3">
        <v>34</v>
      </c>
      <c r="W2754" s="45" t="str">
        <f>HYPERLINK("http://ictvonline.org/taxonomy/p/taxonomy-history?taxnode_id=201850695","ICTVonline=201850695")</f>
        <v>ICTVonline=201850695</v>
      </c>
      <c r="AA2754" s="1">
        <v>201850000</v>
      </c>
      <c r="AB2754" s="1">
        <v>34</v>
      </c>
    </row>
    <row r="2755" spans="1:28" x14ac:dyDescent="0.15">
      <c r="A2755" s="1">
        <v>7019</v>
      </c>
      <c r="J2755" s="1" t="s">
        <v>1332</v>
      </c>
      <c r="L2755" s="1" t="s">
        <v>900</v>
      </c>
      <c r="N2755" s="1" t="s">
        <v>6478</v>
      </c>
      <c r="P2755" s="1" t="s">
        <v>4306</v>
      </c>
      <c r="Q2755" s="3">
        <v>0</v>
      </c>
      <c r="S2755" s="23" t="s">
        <v>5949</v>
      </c>
      <c r="T2755" s="23" t="s">
        <v>4931</v>
      </c>
      <c r="U2755" s="3">
        <v>34</v>
      </c>
      <c r="W2755" s="45" t="str">
        <f>HYPERLINK("http://ictvonline.org/taxonomy/p/taxonomy-history?taxnode_id=201850696","ICTVonline=201850696")</f>
        <v>ICTVonline=201850696</v>
      </c>
      <c r="AA2755" s="1">
        <v>201850000</v>
      </c>
      <c r="AB2755" s="1">
        <v>34</v>
      </c>
    </row>
    <row r="2756" spans="1:28" x14ac:dyDescent="0.15">
      <c r="A2756" s="1">
        <v>7023</v>
      </c>
      <c r="J2756" s="1" t="s">
        <v>1332</v>
      </c>
      <c r="L2756" s="1" t="s">
        <v>900</v>
      </c>
      <c r="N2756" s="1" t="s">
        <v>6479</v>
      </c>
      <c r="P2756" s="1" t="s">
        <v>3000</v>
      </c>
      <c r="Q2756" s="3">
        <v>1</v>
      </c>
      <c r="S2756" s="23" t="s">
        <v>5949</v>
      </c>
      <c r="T2756" s="23" t="s">
        <v>4931</v>
      </c>
      <c r="U2756" s="3">
        <v>34</v>
      </c>
      <c r="W2756" s="45" t="str">
        <f>HYPERLINK("http://ictvonline.org/taxonomy/p/taxonomy-history?taxnode_id=201850627","ICTVonline=201850627")</f>
        <v>ICTVonline=201850627</v>
      </c>
      <c r="AA2756" s="1">
        <v>201850000</v>
      </c>
      <c r="AB2756" s="1">
        <v>34</v>
      </c>
    </row>
    <row r="2757" spans="1:28" x14ac:dyDescent="0.15">
      <c r="A2757" s="1">
        <v>7025</v>
      </c>
      <c r="J2757" s="1" t="s">
        <v>1332</v>
      </c>
      <c r="L2757" s="1" t="s">
        <v>900</v>
      </c>
      <c r="N2757" s="1" t="s">
        <v>6479</v>
      </c>
      <c r="P2757" s="1" t="s">
        <v>3001</v>
      </c>
      <c r="Q2757" s="3">
        <v>0</v>
      </c>
      <c r="S2757" s="23" t="s">
        <v>5949</v>
      </c>
      <c r="T2757" s="23" t="s">
        <v>4931</v>
      </c>
      <c r="U2757" s="3">
        <v>34</v>
      </c>
      <c r="W2757" s="45" t="str">
        <f>HYPERLINK("http://ictvonline.org/taxonomy/p/taxonomy-history?taxnode_id=201850628","ICTVonline=201850628")</f>
        <v>ICTVonline=201850628</v>
      </c>
      <c r="AA2757" s="1">
        <v>201850000</v>
      </c>
      <c r="AB2757" s="1">
        <v>34</v>
      </c>
    </row>
    <row r="2758" spans="1:28" x14ac:dyDescent="0.15">
      <c r="A2758" s="1">
        <v>7029</v>
      </c>
      <c r="J2758" s="1" t="s">
        <v>1332</v>
      </c>
      <c r="L2758" s="1" t="s">
        <v>900</v>
      </c>
      <c r="N2758" s="1" t="s">
        <v>6480</v>
      </c>
      <c r="P2758" s="1" t="s">
        <v>4307</v>
      </c>
      <c r="Q2758" s="3">
        <v>1</v>
      </c>
      <c r="S2758" s="23" t="s">
        <v>5949</v>
      </c>
      <c r="T2758" s="23" t="s">
        <v>4931</v>
      </c>
      <c r="U2758" s="3">
        <v>34</v>
      </c>
      <c r="W2758" s="45" t="str">
        <f>HYPERLINK("http://ictvonline.org/taxonomy/p/taxonomy-history?taxnode_id=201850698","ICTVonline=201850698")</f>
        <v>ICTVonline=201850698</v>
      </c>
      <c r="AA2758" s="1">
        <v>201850000</v>
      </c>
      <c r="AB2758" s="1">
        <v>34</v>
      </c>
    </row>
    <row r="2759" spans="1:28" x14ac:dyDescent="0.15">
      <c r="A2759" s="1">
        <v>7031</v>
      </c>
      <c r="J2759" s="1" t="s">
        <v>1332</v>
      </c>
      <c r="L2759" s="1" t="s">
        <v>900</v>
      </c>
      <c r="N2759" s="1" t="s">
        <v>6480</v>
      </c>
      <c r="P2759" s="1" t="s">
        <v>4308</v>
      </c>
      <c r="Q2759" s="3">
        <v>0</v>
      </c>
      <c r="S2759" s="23" t="s">
        <v>5949</v>
      </c>
      <c r="T2759" s="23" t="s">
        <v>4931</v>
      </c>
      <c r="U2759" s="3">
        <v>34</v>
      </c>
      <c r="W2759" s="45" t="str">
        <f>HYPERLINK("http://ictvonline.org/taxonomy/p/taxonomy-history?taxnode_id=201850699","ICTVonline=201850699")</f>
        <v>ICTVonline=201850699</v>
      </c>
      <c r="AA2759" s="1">
        <v>201850000</v>
      </c>
      <c r="AB2759" s="1">
        <v>34</v>
      </c>
    </row>
    <row r="2760" spans="1:28" x14ac:dyDescent="0.15">
      <c r="A2760" s="1">
        <v>7033</v>
      </c>
      <c r="J2760" s="1" t="s">
        <v>1332</v>
      </c>
      <c r="L2760" s="1" t="s">
        <v>900</v>
      </c>
      <c r="N2760" s="1" t="s">
        <v>6480</v>
      </c>
      <c r="P2760" s="1" t="s">
        <v>4309</v>
      </c>
      <c r="Q2760" s="3">
        <v>0</v>
      </c>
      <c r="S2760" s="23" t="s">
        <v>5949</v>
      </c>
      <c r="T2760" s="23" t="s">
        <v>4931</v>
      </c>
      <c r="U2760" s="3">
        <v>34</v>
      </c>
      <c r="W2760" s="45" t="str">
        <f>HYPERLINK("http://ictvonline.org/taxonomy/p/taxonomy-history?taxnode_id=201850700","ICTVonline=201850700")</f>
        <v>ICTVonline=201850700</v>
      </c>
      <c r="AA2760" s="1">
        <v>201850000</v>
      </c>
      <c r="AB2760" s="1">
        <v>34</v>
      </c>
    </row>
    <row r="2761" spans="1:28" x14ac:dyDescent="0.15">
      <c r="A2761" s="1">
        <v>7037</v>
      </c>
      <c r="J2761" s="1" t="s">
        <v>1332</v>
      </c>
      <c r="L2761" s="1" t="s">
        <v>900</v>
      </c>
      <c r="N2761" s="1" t="s">
        <v>6481</v>
      </c>
      <c r="P2761" s="1" t="s">
        <v>6482</v>
      </c>
      <c r="Q2761" s="3">
        <v>1</v>
      </c>
      <c r="S2761" s="23" t="s">
        <v>5949</v>
      </c>
      <c r="T2761" s="23" t="s">
        <v>4929</v>
      </c>
      <c r="U2761" s="3">
        <v>34</v>
      </c>
      <c r="V2761" s="3" t="s">
        <v>6483</v>
      </c>
      <c r="W2761" s="45" t="str">
        <f>HYPERLINK("http://ictvonline.org/taxonomy/p/taxonomy-history?taxnode_id=201856888","ICTVonline=201856888")</f>
        <v>ICTVonline=201856888</v>
      </c>
      <c r="AA2761" s="1">
        <v>201850000</v>
      </c>
      <c r="AB2761" s="1">
        <v>34</v>
      </c>
    </row>
    <row r="2762" spans="1:28" x14ac:dyDescent="0.15">
      <c r="A2762" s="1">
        <v>7041</v>
      </c>
      <c r="J2762" s="1" t="s">
        <v>1332</v>
      </c>
      <c r="L2762" s="1" t="s">
        <v>900</v>
      </c>
      <c r="N2762" s="1" t="s">
        <v>6484</v>
      </c>
      <c r="P2762" s="1" t="s">
        <v>3004</v>
      </c>
      <c r="Q2762" s="3">
        <v>0</v>
      </c>
      <c r="S2762" s="23" t="s">
        <v>5949</v>
      </c>
      <c r="T2762" s="23" t="s">
        <v>4931</v>
      </c>
      <c r="U2762" s="3">
        <v>34</v>
      </c>
      <c r="W2762" s="45" t="str">
        <f>HYPERLINK("http://ictvonline.org/taxonomy/p/taxonomy-history?taxnode_id=201850636","ICTVonline=201850636")</f>
        <v>ICTVonline=201850636</v>
      </c>
      <c r="AA2762" s="1">
        <v>201850000</v>
      </c>
      <c r="AB2762" s="1">
        <v>34</v>
      </c>
    </row>
    <row r="2763" spans="1:28" x14ac:dyDescent="0.15">
      <c r="A2763" s="1">
        <v>7043</v>
      </c>
      <c r="J2763" s="1" t="s">
        <v>1332</v>
      </c>
      <c r="L2763" s="1" t="s">
        <v>900</v>
      </c>
      <c r="N2763" s="1" t="s">
        <v>6484</v>
      </c>
      <c r="P2763" s="1" t="s">
        <v>3005</v>
      </c>
      <c r="Q2763" s="3">
        <v>1</v>
      </c>
      <c r="S2763" s="23" t="s">
        <v>5949</v>
      </c>
      <c r="T2763" s="23" t="s">
        <v>4931</v>
      </c>
      <c r="U2763" s="3">
        <v>34</v>
      </c>
      <c r="W2763" s="45" t="str">
        <f>HYPERLINK("http://ictvonline.org/taxonomy/p/taxonomy-history?taxnode_id=201850637","ICTVonline=201850637")</f>
        <v>ICTVonline=201850637</v>
      </c>
      <c r="AA2763" s="1">
        <v>201850000</v>
      </c>
      <c r="AB2763" s="1">
        <v>34</v>
      </c>
    </row>
    <row r="2764" spans="1:28" x14ac:dyDescent="0.15">
      <c r="A2764" s="1">
        <v>7045</v>
      </c>
      <c r="J2764" s="1" t="s">
        <v>1332</v>
      </c>
      <c r="L2764" s="1" t="s">
        <v>900</v>
      </c>
      <c r="N2764" s="1" t="s">
        <v>6484</v>
      </c>
      <c r="P2764" s="1" t="s">
        <v>4298</v>
      </c>
      <c r="Q2764" s="3">
        <v>0</v>
      </c>
      <c r="S2764" s="23" t="s">
        <v>5949</v>
      </c>
      <c r="T2764" s="23" t="s">
        <v>4931</v>
      </c>
      <c r="U2764" s="3">
        <v>34</v>
      </c>
      <c r="W2764" s="45" t="str">
        <f>HYPERLINK("http://ictvonline.org/taxonomy/p/taxonomy-history?taxnode_id=201850638","ICTVonline=201850638")</f>
        <v>ICTVonline=201850638</v>
      </c>
      <c r="AA2764" s="1">
        <v>201850000</v>
      </c>
      <c r="AB2764" s="1">
        <v>34</v>
      </c>
    </row>
    <row r="2765" spans="1:28" x14ac:dyDescent="0.15">
      <c r="A2765" s="1">
        <v>7049</v>
      </c>
      <c r="J2765" s="1" t="s">
        <v>1332</v>
      </c>
      <c r="L2765" s="1" t="s">
        <v>900</v>
      </c>
      <c r="N2765" s="1" t="s">
        <v>6485</v>
      </c>
      <c r="P2765" s="1" t="s">
        <v>6486</v>
      </c>
      <c r="Q2765" s="3">
        <v>0</v>
      </c>
      <c r="S2765" s="23" t="s">
        <v>5949</v>
      </c>
      <c r="T2765" s="23" t="s">
        <v>4929</v>
      </c>
      <c r="U2765" s="3">
        <v>34</v>
      </c>
      <c r="V2765" s="3" t="s">
        <v>6487</v>
      </c>
      <c r="W2765" s="45" t="str">
        <f>HYPERLINK("http://ictvonline.org/taxonomy/p/taxonomy-history?taxnode_id=201856898","ICTVonline=201856898")</f>
        <v>ICTVonline=201856898</v>
      </c>
      <c r="AA2765" s="1">
        <v>201850000</v>
      </c>
      <c r="AB2765" s="1">
        <v>34</v>
      </c>
    </row>
    <row r="2766" spans="1:28" x14ac:dyDescent="0.15">
      <c r="A2766" s="1">
        <v>7051</v>
      </c>
      <c r="J2766" s="1" t="s">
        <v>1332</v>
      </c>
      <c r="L2766" s="1" t="s">
        <v>900</v>
      </c>
      <c r="N2766" s="1" t="s">
        <v>6485</v>
      </c>
      <c r="P2766" s="1" t="s">
        <v>6488</v>
      </c>
      <c r="Q2766" s="3">
        <v>1</v>
      </c>
      <c r="S2766" s="23" t="s">
        <v>5949</v>
      </c>
      <c r="T2766" s="23" t="s">
        <v>4929</v>
      </c>
      <c r="U2766" s="3">
        <v>34</v>
      </c>
      <c r="V2766" s="3" t="s">
        <v>6487</v>
      </c>
      <c r="W2766" s="45" t="str">
        <f>HYPERLINK("http://ictvonline.org/taxonomy/p/taxonomy-history?taxnode_id=201856897","ICTVonline=201856897")</f>
        <v>ICTVonline=201856897</v>
      </c>
      <c r="AA2766" s="1">
        <v>201850000</v>
      </c>
      <c r="AB2766" s="1">
        <v>34</v>
      </c>
    </row>
    <row r="2767" spans="1:28" x14ac:dyDescent="0.15">
      <c r="A2767" s="1">
        <v>7054</v>
      </c>
      <c r="J2767" s="1" t="s">
        <v>1332</v>
      </c>
      <c r="L2767" s="1" t="s">
        <v>900</v>
      </c>
      <c r="P2767" s="1" t="s">
        <v>3047</v>
      </c>
      <c r="Q2767" s="3">
        <v>0</v>
      </c>
      <c r="S2767" s="23" t="s">
        <v>5949</v>
      </c>
      <c r="W2767" s="45" t="str">
        <f>HYPERLINK("http://ictvonline.org/taxonomy/p/taxonomy-history?taxnode_id=201850702","ICTVonline=201850702")</f>
        <v>ICTVonline=201850702</v>
      </c>
      <c r="AA2767" s="1">
        <v>201850000</v>
      </c>
      <c r="AB2767" s="1">
        <v>34</v>
      </c>
    </row>
    <row r="2768" spans="1:28" x14ac:dyDescent="0.15">
      <c r="A2768" s="1">
        <v>7056</v>
      </c>
      <c r="J2768" s="1" t="s">
        <v>1332</v>
      </c>
      <c r="L2768" s="1" t="s">
        <v>900</v>
      </c>
      <c r="P2768" s="1" t="s">
        <v>3048</v>
      </c>
      <c r="Q2768" s="3">
        <v>0</v>
      </c>
      <c r="S2768" s="23" t="s">
        <v>5949</v>
      </c>
      <c r="W2768" s="45" t="str">
        <f>HYPERLINK("http://ictvonline.org/taxonomy/p/taxonomy-history?taxnode_id=201850703","ICTVonline=201850703")</f>
        <v>ICTVonline=201850703</v>
      </c>
      <c r="AA2768" s="1">
        <v>201850000</v>
      </c>
      <c r="AB2768" s="1">
        <v>34</v>
      </c>
    </row>
    <row r="2769" spans="1:28" x14ac:dyDescent="0.15">
      <c r="A2769" s="1">
        <v>7058</v>
      </c>
      <c r="J2769" s="1" t="s">
        <v>1332</v>
      </c>
      <c r="L2769" s="1" t="s">
        <v>900</v>
      </c>
      <c r="P2769" s="1" t="s">
        <v>3049</v>
      </c>
      <c r="Q2769" s="3">
        <v>0</v>
      </c>
      <c r="S2769" s="23" t="s">
        <v>5949</v>
      </c>
      <c r="W2769" s="45" t="str">
        <f>HYPERLINK("http://ictvonline.org/taxonomy/p/taxonomy-history?taxnode_id=201850704","ICTVonline=201850704")</f>
        <v>ICTVonline=201850704</v>
      </c>
      <c r="AA2769" s="1">
        <v>201850000</v>
      </c>
      <c r="AB2769" s="1">
        <v>34</v>
      </c>
    </row>
    <row r="2770" spans="1:28" x14ac:dyDescent="0.15">
      <c r="A2770" s="1">
        <v>7060</v>
      </c>
      <c r="J2770" s="1" t="s">
        <v>1332</v>
      </c>
      <c r="L2770" s="1" t="s">
        <v>900</v>
      </c>
      <c r="P2770" s="1" t="s">
        <v>3050</v>
      </c>
      <c r="Q2770" s="3">
        <v>0</v>
      </c>
      <c r="S2770" s="23" t="s">
        <v>5949</v>
      </c>
      <c r="W2770" s="45" t="str">
        <f>HYPERLINK("http://ictvonline.org/taxonomy/p/taxonomy-history?taxnode_id=201850705","ICTVonline=201850705")</f>
        <v>ICTVonline=201850705</v>
      </c>
      <c r="AA2770" s="1">
        <v>201850000</v>
      </c>
      <c r="AB2770" s="1">
        <v>34</v>
      </c>
    </row>
    <row r="2771" spans="1:28" x14ac:dyDescent="0.15">
      <c r="A2771" s="1">
        <v>7062</v>
      </c>
      <c r="J2771" s="1" t="s">
        <v>1332</v>
      </c>
      <c r="L2771" s="1" t="s">
        <v>900</v>
      </c>
      <c r="P2771" s="1" t="s">
        <v>3051</v>
      </c>
      <c r="Q2771" s="3">
        <v>0</v>
      </c>
      <c r="S2771" s="23" t="s">
        <v>5949</v>
      </c>
      <c r="W2771" s="45" t="str">
        <f>HYPERLINK("http://ictvonline.org/taxonomy/p/taxonomy-history?taxnode_id=201850706","ICTVonline=201850706")</f>
        <v>ICTVonline=201850706</v>
      </c>
      <c r="AA2771" s="1">
        <v>201850000</v>
      </c>
      <c r="AB2771" s="1">
        <v>34</v>
      </c>
    </row>
    <row r="2772" spans="1:28" x14ac:dyDescent="0.15">
      <c r="A2772" s="1">
        <v>7064</v>
      </c>
      <c r="J2772" s="1" t="s">
        <v>1332</v>
      </c>
      <c r="L2772" s="1" t="s">
        <v>900</v>
      </c>
      <c r="P2772" s="1" t="s">
        <v>3052</v>
      </c>
      <c r="Q2772" s="3">
        <v>0</v>
      </c>
      <c r="S2772" s="23" t="s">
        <v>5949</v>
      </c>
      <c r="W2772" s="45" t="str">
        <f>HYPERLINK("http://ictvonline.org/taxonomy/p/taxonomy-history?taxnode_id=201850707","ICTVonline=201850707")</f>
        <v>ICTVonline=201850707</v>
      </c>
      <c r="AA2772" s="1">
        <v>201850000</v>
      </c>
      <c r="AB2772" s="1">
        <v>34</v>
      </c>
    </row>
    <row r="2773" spans="1:28" x14ac:dyDescent="0.15">
      <c r="A2773" s="1">
        <v>7066</v>
      </c>
      <c r="J2773" s="1" t="s">
        <v>1332</v>
      </c>
      <c r="L2773" s="1" t="s">
        <v>900</v>
      </c>
      <c r="P2773" s="1" t="s">
        <v>3053</v>
      </c>
      <c r="Q2773" s="3">
        <v>0</v>
      </c>
      <c r="S2773" s="23" t="s">
        <v>5949</v>
      </c>
      <c r="W2773" s="45" t="str">
        <f>HYPERLINK("http://ictvonline.org/taxonomy/p/taxonomy-history?taxnode_id=201850708","ICTVonline=201850708")</f>
        <v>ICTVonline=201850708</v>
      </c>
      <c r="AA2773" s="1">
        <v>201850000</v>
      </c>
      <c r="AB2773" s="1">
        <v>34</v>
      </c>
    </row>
    <row r="2774" spans="1:28" x14ac:dyDescent="0.15">
      <c r="A2774" s="1">
        <v>7072</v>
      </c>
      <c r="J2774" s="1" t="s">
        <v>1332</v>
      </c>
      <c r="L2774" s="1" t="s">
        <v>901</v>
      </c>
      <c r="M2774" s="1" t="s">
        <v>4310</v>
      </c>
      <c r="N2774" s="1" t="s">
        <v>6489</v>
      </c>
      <c r="P2774" s="1" t="s">
        <v>4324</v>
      </c>
      <c r="Q2774" s="3">
        <v>0</v>
      </c>
      <c r="S2774" s="23" t="s">
        <v>5949</v>
      </c>
      <c r="T2774" s="23" t="s">
        <v>4931</v>
      </c>
      <c r="U2774" s="3">
        <v>34</v>
      </c>
      <c r="W2774" s="45" t="str">
        <f>HYPERLINK("http://ictvonline.org/taxonomy/p/taxonomy-history?taxnode_id=201850729","ICTVonline=201850729")</f>
        <v>ICTVonline=201850729</v>
      </c>
      <c r="AA2774" s="1">
        <v>201850000</v>
      </c>
      <c r="AB2774" s="1">
        <v>34</v>
      </c>
    </row>
    <row r="2775" spans="1:28" x14ac:dyDescent="0.15">
      <c r="A2775" s="1">
        <v>7074</v>
      </c>
      <c r="J2775" s="1" t="s">
        <v>1332</v>
      </c>
      <c r="L2775" s="1" t="s">
        <v>901</v>
      </c>
      <c r="M2775" s="1" t="s">
        <v>4310</v>
      </c>
      <c r="N2775" s="1" t="s">
        <v>6489</v>
      </c>
      <c r="P2775" s="1" t="s">
        <v>4325</v>
      </c>
      <c r="Q2775" s="3">
        <v>1</v>
      </c>
      <c r="S2775" s="23" t="s">
        <v>5949</v>
      </c>
      <c r="T2775" s="23" t="s">
        <v>4931</v>
      </c>
      <c r="U2775" s="3">
        <v>34</v>
      </c>
      <c r="W2775" s="45" t="str">
        <f>HYPERLINK("http://ictvonline.org/taxonomy/p/taxonomy-history?taxnode_id=201850730","ICTVonline=201850730")</f>
        <v>ICTVonline=201850730</v>
      </c>
      <c r="AA2775" s="1">
        <v>201850000</v>
      </c>
      <c r="AB2775" s="1">
        <v>34</v>
      </c>
    </row>
    <row r="2776" spans="1:28" x14ac:dyDescent="0.15">
      <c r="A2776" s="1">
        <v>7078</v>
      </c>
      <c r="J2776" s="1" t="s">
        <v>1332</v>
      </c>
      <c r="L2776" s="1" t="s">
        <v>901</v>
      </c>
      <c r="M2776" s="1" t="s">
        <v>4310</v>
      </c>
      <c r="N2776" s="1" t="s">
        <v>4311</v>
      </c>
      <c r="P2776" s="1" t="s">
        <v>4312</v>
      </c>
      <c r="Q2776" s="3">
        <v>0</v>
      </c>
      <c r="S2776" s="23" t="s">
        <v>5949</v>
      </c>
      <c r="W2776" s="45" t="str">
        <f>HYPERLINK("http://ictvonline.org/taxonomy/p/taxonomy-history?taxnode_id=201850716","ICTVonline=201850716")</f>
        <v>ICTVonline=201850716</v>
      </c>
      <c r="AA2776" s="1">
        <v>201850000</v>
      </c>
      <c r="AB2776" s="1">
        <v>34</v>
      </c>
    </row>
    <row r="2777" spans="1:28" x14ac:dyDescent="0.15">
      <c r="A2777" s="1">
        <v>7080</v>
      </c>
      <c r="J2777" s="1" t="s">
        <v>1332</v>
      </c>
      <c r="L2777" s="1" t="s">
        <v>901</v>
      </c>
      <c r="M2777" s="1" t="s">
        <v>4310</v>
      </c>
      <c r="N2777" s="1" t="s">
        <v>4311</v>
      </c>
      <c r="P2777" s="1" t="s">
        <v>4313</v>
      </c>
      <c r="Q2777" s="3">
        <v>1</v>
      </c>
      <c r="S2777" s="23" t="s">
        <v>5949</v>
      </c>
      <c r="W2777" s="45" t="str">
        <f>HYPERLINK("http://ictvonline.org/taxonomy/p/taxonomy-history?taxnode_id=201850717","ICTVonline=201850717")</f>
        <v>ICTVonline=201850717</v>
      </c>
      <c r="AA2777" s="1">
        <v>201850000</v>
      </c>
      <c r="AB2777" s="1">
        <v>34</v>
      </c>
    </row>
    <row r="2778" spans="1:28" x14ac:dyDescent="0.15">
      <c r="A2778" s="1">
        <v>7084</v>
      </c>
      <c r="J2778" s="1" t="s">
        <v>1332</v>
      </c>
      <c r="L2778" s="1" t="s">
        <v>901</v>
      </c>
      <c r="M2778" s="1" t="s">
        <v>4310</v>
      </c>
      <c r="N2778" s="1" t="s">
        <v>4314</v>
      </c>
      <c r="P2778" s="1" t="s">
        <v>4315</v>
      </c>
      <c r="Q2778" s="3">
        <v>0</v>
      </c>
      <c r="S2778" s="23" t="s">
        <v>5949</v>
      </c>
      <c r="W2778" s="45" t="str">
        <f>HYPERLINK("http://ictvonline.org/taxonomy/p/taxonomy-history?taxnode_id=201850719","ICTVonline=201850719")</f>
        <v>ICTVonline=201850719</v>
      </c>
      <c r="AA2778" s="1">
        <v>201850000</v>
      </c>
      <c r="AB2778" s="1">
        <v>34</v>
      </c>
    </row>
    <row r="2779" spans="1:28" x14ac:dyDescent="0.15">
      <c r="A2779" s="1">
        <v>7086</v>
      </c>
      <c r="J2779" s="1" t="s">
        <v>1332</v>
      </c>
      <c r="L2779" s="1" t="s">
        <v>901</v>
      </c>
      <c r="M2779" s="1" t="s">
        <v>4310</v>
      </c>
      <c r="N2779" s="1" t="s">
        <v>4314</v>
      </c>
      <c r="P2779" s="1" t="s">
        <v>4316</v>
      </c>
      <c r="Q2779" s="3">
        <v>0</v>
      </c>
      <c r="S2779" s="23" t="s">
        <v>5949</v>
      </c>
      <c r="W2779" s="45" t="str">
        <f>HYPERLINK("http://ictvonline.org/taxonomy/p/taxonomy-history?taxnode_id=201850720","ICTVonline=201850720")</f>
        <v>ICTVonline=201850720</v>
      </c>
      <c r="AA2779" s="1">
        <v>201850000</v>
      </c>
      <c r="AB2779" s="1">
        <v>34</v>
      </c>
    </row>
    <row r="2780" spans="1:28" x14ac:dyDescent="0.15">
      <c r="A2780" s="1">
        <v>7088</v>
      </c>
      <c r="J2780" s="1" t="s">
        <v>1332</v>
      </c>
      <c r="L2780" s="1" t="s">
        <v>901</v>
      </c>
      <c r="M2780" s="1" t="s">
        <v>4310</v>
      </c>
      <c r="N2780" s="1" t="s">
        <v>4314</v>
      </c>
      <c r="P2780" s="1" t="s">
        <v>4317</v>
      </c>
      <c r="Q2780" s="3">
        <v>0</v>
      </c>
      <c r="S2780" s="23" t="s">
        <v>5949</v>
      </c>
      <c r="W2780" s="45" t="str">
        <f>HYPERLINK("http://ictvonline.org/taxonomy/p/taxonomy-history?taxnode_id=201850721","ICTVonline=201850721")</f>
        <v>ICTVonline=201850721</v>
      </c>
      <c r="AA2780" s="1">
        <v>201850000</v>
      </c>
      <c r="AB2780" s="1">
        <v>34</v>
      </c>
    </row>
    <row r="2781" spans="1:28" x14ac:dyDescent="0.15">
      <c r="A2781" s="1">
        <v>7090</v>
      </c>
      <c r="J2781" s="1" t="s">
        <v>1332</v>
      </c>
      <c r="L2781" s="1" t="s">
        <v>901</v>
      </c>
      <c r="M2781" s="1" t="s">
        <v>4310</v>
      </c>
      <c r="N2781" s="1" t="s">
        <v>4314</v>
      </c>
      <c r="P2781" s="1" t="s">
        <v>4318</v>
      </c>
      <c r="Q2781" s="3">
        <v>0</v>
      </c>
      <c r="S2781" s="23" t="s">
        <v>5949</v>
      </c>
      <c r="W2781" s="45" t="str">
        <f>HYPERLINK("http://ictvonline.org/taxonomy/p/taxonomy-history?taxnode_id=201850722","ICTVonline=201850722")</f>
        <v>ICTVonline=201850722</v>
      </c>
      <c r="AA2781" s="1">
        <v>201850000</v>
      </c>
      <c r="AB2781" s="1">
        <v>34</v>
      </c>
    </row>
    <row r="2782" spans="1:28" x14ac:dyDescent="0.15">
      <c r="A2782" s="1">
        <v>7092</v>
      </c>
      <c r="J2782" s="1" t="s">
        <v>1332</v>
      </c>
      <c r="L2782" s="1" t="s">
        <v>901</v>
      </c>
      <c r="M2782" s="1" t="s">
        <v>4310</v>
      </c>
      <c r="N2782" s="1" t="s">
        <v>4314</v>
      </c>
      <c r="P2782" s="1" t="s">
        <v>4319</v>
      </c>
      <c r="Q2782" s="3">
        <v>0</v>
      </c>
      <c r="S2782" s="23" t="s">
        <v>5949</v>
      </c>
      <c r="W2782" s="45" t="str">
        <f>HYPERLINK("http://ictvonline.org/taxonomy/p/taxonomy-history?taxnode_id=201850723","ICTVonline=201850723")</f>
        <v>ICTVonline=201850723</v>
      </c>
      <c r="AA2782" s="1">
        <v>201850000</v>
      </c>
      <c r="AB2782" s="1">
        <v>34</v>
      </c>
    </row>
    <row r="2783" spans="1:28" x14ac:dyDescent="0.15">
      <c r="A2783" s="1">
        <v>7094</v>
      </c>
      <c r="J2783" s="1" t="s">
        <v>1332</v>
      </c>
      <c r="L2783" s="1" t="s">
        <v>901</v>
      </c>
      <c r="M2783" s="1" t="s">
        <v>4310</v>
      </c>
      <c r="N2783" s="1" t="s">
        <v>4314</v>
      </c>
      <c r="P2783" s="1" t="s">
        <v>4320</v>
      </c>
      <c r="Q2783" s="3">
        <v>0</v>
      </c>
      <c r="S2783" s="23" t="s">
        <v>5949</v>
      </c>
      <c r="W2783" s="45" t="str">
        <f>HYPERLINK("http://ictvonline.org/taxonomy/p/taxonomy-history?taxnode_id=201850724","ICTVonline=201850724")</f>
        <v>ICTVonline=201850724</v>
      </c>
      <c r="AA2783" s="1">
        <v>201850000</v>
      </c>
      <c r="AB2783" s="1">
        <v>34</v>
      </c>
    </row>
    <row r="2784" spans="1:28" x14ac:dyDescent="0.15">
      <c r="A2784" s="1">
        <v>7096</v>
      </c>
      <c r="J2784" s="1" t="s">
        <v>1332</v>
      </c>
      <c r="L2784" s="1" t="s">
        <v>901</v>
      </c>
      <c r="M2784" s="1" t="s">
        <v>4310</v>
      </c>
      <c r="N2784" s="1" t="s">
        <v>4314</v>
      </c>
      <c r="P2784" s="1" t="s">
        <v>4321</v>
      </c>
      <c r="Q2784" s="3">
        <v>1</v>
      </c>
      <c r="S2784" s="23" t="s">
        <v>5949</v>
      </c>
      <c r="W2784" s="45" t="str">
        <f>HYPERLINK("http://ictvonline.org/taxonomy/p/taxonomy-history?taxnode_id=201850725","ICTVonline=201850725")</f>
        <v>ICTVonline=201850725</v>
      </c>
      <c r="AA2784" s="1">
        <v>201850000</v>
      </c>
      <c r="AB2784" s="1">
        <v>34</v>
      </c>
    </row>
    <row r="2785" spans="1:28" x14ac:dyDescent="0.15">
      <c r="A2785" s="1">
        <v>7098</v>
      </c>
      <c r="J2785" s="1" t="s">
        <v>1332</v>
      </c>
      <c r="L2785" s="1" t="s">
        <v>901</v>
      </c>
      <c r="M2785" s="1" t="s">
        <v>4310</v>
      </c>
      <c r="N2785" s="1" t="s">
        <v>4314</v>
      </c>
      <c r="P2785" s="1" t="s">
        <v>4322</v>
      </c>
      <c r="Q2785" s="3">
        <v>0</v>
      </c>
      <c r="S2785" s="23" t="s">
        <v>5949</v>
      </c>
      <c r="W2785" s="45" t="str">
        <f>HYPERLINK("http://ictvonline.org/taxonomy/p/taxonomy-history?taxnode_id=201850726","ICTVonline=201850726")</f>
        <v>ICTVonline=201850726</v>
      </c>
      <c r="AA2785" s="1">
        <v>201850000</v>
      </c>
      <c r="AB2785" s="1">
        <v>34</v>
      </c>
    </row>
    <row r="2786" spans="1:28" x14ac:dyDescent="0.15">
      <c r="A2786" s="1">
        <v>7100</v>
      </c>
      <c r="J2786" s="1" t="s">
        <v>1332</v>
      </c>
      <c r="L2786" s="1" t="s">
        <v>901</v>
      </c>
      <c r="M2786" s="1" t="s">
        <v>4310</v>
      </c>
      <c r="N2786" s="1" t="s">
        <v>4314</v>
      </c>
      <c r="P2786" s="1" t="s">
        <v>4323</v>
      </c>
      <c r="Q2786" s="3">
        <v>0</v>
      </c>
      <c r="S2786" s="23" t="s">
        <v>5949</v>
      </c>
      <c r="W2786" s="45" t="str">
        <f>HYPERLINK("http://ictvonline.org/taxonomy/p/taxonomy-history?taxnode_id=201850727","ICTVonline=201850727")</f>
        <v>ICTVonline=201850727</v>
      </c>
      <c r="AA2786" s="1">
        <v>201850000</v>
      </c>
      <c r="AB2786" s="1">
        <v>34</v>
      </c>
    </row>
    <row r="2787" spans="1:28" x14ac:dyDescent="0.15">
      <c r="A2787" s="1">
        <v>7103</v>
      </c>
      <c r="J2787" s="1" t="s">
        <v>1332</v>
      </c>
      <c r="L2787" s="1" t="s">
        <v>901</v>
      </c>
      <c r="M2787" s="1" t="s">
        <v>4310</v>
      </c>
      <c r="P2787" s="1" t="s">
        <v>4326</v>
      </c>
      <c r="Q2787" s="3">
        <v>0</v>
      </c>
      <c r="S2787" s="23" t="s">
        <v>5949</v>
      </c>
      <c r="W2787" s="45" t="str">
        <f>HYPERLINK("http://ictvonline.org/taxonomy/p/taxonomy-history?taxnode_id=201850732","ICTVonline=201850732")</f>
        <v>ICTVonline=201850732</v>
      </c>
      <c r="AA2787" s="1">
        <v>201850000</v>
      </c>
      <c r="AB2787" s="1">
        <v>34</v>
      </c>
    </row>
    <row r="2788" spans="1:28" x14ac:dyDescent="0.15">
      <c r="A2788" s="1">
        <v>7108</v>
      </c>
      <c r="J2788" s="1" t="s">
        <v>1332</v>
      </c>
      <c r="L2788" s="1" t="s">
        <v>901</v>
      </c>
      <c r="M2788" s="1" t="s">
        <v>4118</v>
      </c>
      <c r="N2788" s="1" t="s">
        <v>4119</v>
      </c>
      <c r="P2788" s="1" t="s">
        <v>3295</v>
      </c>
      <c r="Q2788" s="3">
        <v>1</v>
      </c>
      <c r="S2788" s="23" t="s">
        <v>5949</v>
      </c>
      <c r="W2788" s="45" t="str">
        <f>HYPERLINK("http://ictvonline.org/taxonomy/p/taxonomy-history?taxnode_id=201850735","ICTVonline=201850735")</f>
        <v>ICTVonline=201850735</v>
      </c>
      <c r="AA2788" s="1">
        <v>201850000</v>
      </c>
      <c r="AB2788" s="1">
        <v>34</v>
      </c>
    </row>
    <row r="2789" spans="1:28" x14ac:dyDescent="0.15">
      <c r="A2789" s="1">
        <v>7110</v>
      </c>
      <c r="J2789" s="1" t="s">
        <v>1332</v>
      </c>
      <c r="L2789" s="1" t="s">
        <v>901</v>
      </c>
      <c r="M2789" s="1" t="s">
        <v>4118</v>
      </c>
      <c r="N2789" s="1" t="s">
        <v>4119</v>
      </c>
      <c r="P2789" s="1" t="s">
        <v>4327</v>
      </c>
      <c r="Q2789" s="3">
        <v>0</v>
      </c>
      <c r="S2789" s="23" t="s">
        <v>5949</v>
      </c>
      <c r="W2789" s="45" t="str">
        <f>HYPERLINK("http://ictvonline.org/taxonomy/p/taxonomy-history?taxnode_id=201850736","ICTVonline=201850736")</f>
        <v>ICTVonline=201850736</v>
      </c>
      <c r="AA2789" s="1">
        <v>201850000</v>
      </c>
      <c r="AB2789" s="1">
        <v>34</v>
      </c>
    </row>
    <row r="2790" spans="1:28" x14ac:dyDescent="0.15">
      <c r="A2790" s="1">
        <v>7112</v>
      </c>
      <c r="J2790" s="1" t="s">
        <v>1332</v>
      </c>
      <c r="L2790" s="1" t="s">
        <v>901</v>
      </c>
      <c r="M2790" s="1" t="s">
        <v>4118</v>
      </c>
      <c r="N2790" s="1" t="s">
        <v>4119</v>
      </c>
      <c r="P2790" s="1" t="s">
        <v>4328</v>
      </c>
      <c r="Q2790" s="3">
        <v>0</v>
      </c>
      <c r="S2790" s="23" t="s">
        <v>5949</v>
      </c>
      <c r="W2790" s="45" t="str">
        <f>HYPERLINK("http://ictvonline.org/taxonomy/p/taxonomy-history?taxnode_id=201850737","ICTVonline=201850737")</f>
        <v>ICTVonline=201850737</v>
      </c>
      <c r="AA2790" s="1">
        <v>201850000</v>
      </c>
      <c r="AB2790" s="1">
        <v>34</v>
      </c>
    </row>
    <row r="2791" spans="1:28" x14ac:dyDescent="0.15">
      <c r="A2791" s="1">
        <v>7116</v>
      </c>
      <c r="J2791" s="1" t="s">
        <v>1332</v>
      </c>
      <c r="L2791" s="1" t="s">
        <v>901</v>
      </c>
      <c r="M2791" s="1" t="s">
        <v>4118</v>
      </c>
      <c r="N2791" s="1" t="s">
        <v>4120</v>
      </c>
      <c r="P2791" s="1" t="s">
        <v>4329</v>
      </c>
      <c r="Q2791" s="3">
        <v>0</v>
      </c>
      <c r="S2791" s="23" t="s">
        <v>5949</v>
      </c>
      <c r="W2791" s="45" t="str">
        <f>HYPERLINK("http://ictvonline.org/taxonomy/p/taxonomy-history?taxnode_id=201850739","ICTVonline=201850739")</f>
        <v>ICTVonline=201850739</v>
      </c>
      <c r="AA2791" s="1">
        <v>201850000</v>
      </c>
      <c r="AB2791" s="1">
        <v>34</v>
      </c>
    </row>
    <row r="2792" spans="1:28" x14ac:dyDescent="0.15">
      <c r="A2792" s="1">
        <v>7118</v>
      </c>
      <c r="J2792" s="1" t="s">
        <v>1332</v>
      </c>
      <c r="L2792" s="1" t="s">
        <v>901</v>
      </c>
      <c r="M2792" s="1" t="s">
        <v>4118</v>
      </c>
      <c r="N2792" s="1" t="s">
        <v>4120</v>
      </c>
      <c r="P2792" s="1" t="s">
        <v>4330</v>
      </c>
      <c r="Q2792" s="3">
        <v>0</v>
      </c>
      <c r="S2792" s="23" t="s">
        <v>5949</v>
      </c>
      <c r="W2792" s="45" t="str">
        <f>HYPERLINK("http://ictvonline.org/taxonomy/p/taxonomy-history?taxnode_id=201850740","ICTVonline=201850740")</f>
        <v>ICTVonline=201850740</v>
      </c>
      <c r="AA2792" s="1">
        <v>201850000</v>
      </c>
      <c r="AB2792" s="1">
        <v>34</v>
      </c>
    </row>
    <row r="2793" spans="1:28" x14ac:dyDescent="0.15">
      <c r="A2793" s="1">
        <v>7120</v>
      </c>
      <c r="J2793" s="1" t="s">
        <v>1332</v>
      </c>
      <c r="L2793" s="1" t="s">
        <v>901</v>
      </c>
      <c r="M2793" s="1" t="s">
        <v>4118</v>
      </c>
      <c r="N2793" s="1" t="s">
        <v>4120</v>
      </c>
      <c r="P2793" s="1" t="s">
        <v>4331</v>
      </c>
      <c r="Q2793" s="3">
        <v>0</v>
      </c>
      <c r="S2793" s="23" t="s">
        <v>5949</v>
      </c>
      <c r="W2793" s="45" t="str">
        <f>HYPERLINK("http://ictvonline.org/taxonomy/p/taxonomy-history?taxnode_id=201850741","ICTVonline=201850741")</f>
        <v>ICTVonline=201850741</v>
      </c>
      <c r="AA2793" s="1">
        <v>201850000</v>
      </c>
      <c r="AB2793" s="1">
        <v>34</v>
      </c>
    </row>
    <row r="2794" spans="1:28" x14ac:dyDescent="0.15">
      <c r="A2794" s="1">
        <v>7122</v>
      </c>
      <c r="J2794" s="1" t="s">
        <v>1332</v>
      </c>
      <c r="L2794" s="1" t="s">
        <v>901</v>
      </c>
      <c r="M2794" s="1" t="s">
        <v>4118</v>
      </c>
      <c r="N2794" s="1" t="s">
        <v>4120</v>
      </c>
      <c r="P2794" s="1" t="s">
        <v>3297</v>
      </c>
      <c r="Q2794" s="3">
        <v>0</v>
      </c>
      <c r="S2794" s="23" t="s">
        <v>5949</v>
      </c>
      <c r="W2794" s="45" t="str">
        <f>HYPERLINK("http://ictvonline.org/taxonomy/p/taxonomy-history?taxnode_id=201850742","ICTVonline=201850742")</f>
        <v>ICTVonline=201850742</v>
      </c>
      <c r="AA2794" s="1">
        <v>201850000</v>
      </c>
      <c r="AB2794" s="1">
        <v>34</v>
      </c>
    </row>
    <row r="2795" spans="1:28" x14ac:dyDescent="0.15">
      <c r="A2795" s="1">
        <v>7124</v>
      </c>
      <c r="J2795" s="1" t="s">
        <v>1332</v>
      </c>
      <c r="L2795" s="1" t="s">
        <v>901</v>
      </c>
      <c r="M2795" s="1" t="s">
        <v>4118</v>
      </c>
      <c r="N2795" s="1" t="s">
        <v>4120</v>
      </c>
      <c r="P2795" s="1" t="s">
        <v>3298</v>
      </c>
      <c r="Q2795" s="3">
        <v>1</v>
      </c>
      <c r="S2795" s="23" t="s">
        <v>5949</v>
      </c>
      <c r="W2795" s="45" t="str">
        <f>HYPERLINK("http://ictvonline.org/taxonomy/p/taxonomy-history?taxnode_id=201850743","ICTVonline=201850743")</f>
        <v>ICTVonline=201850743</v>
      </c>
      <c r="AA2795" s="1">
        <v>201850000</v>
      </c>
      <c r="AB2795" s="1">
        <v>34</v>
      </c>
    </row>
    <row r="2796" spans="1:28" x14ac:dyDescent="0.15">
      <c r="A2796" s="1">
        <v>7126</v>
      </c>
      <c r="J2796" s="1" t="s">
        <v>1332</v>
      </c>
      <c r="L2796" s="1" t="s">
        <v>901</v>
      </c>
      <c r="M2796" s="1" t="s">
        <v>4118</v>
      </c>
      <c r="N2796" s="1" t="s">
        <v>4120</v>
      </c>
      <c r="P2796" s="1" t="s">
        <v>4332</v>
      </c>
      <c r="Q2796" s="3">
        <v>0</v>
      </c>
      <c r="S2796" s="23" t="s">
        <v>5949</v>
      </c>
      <c r="W2796" s="45" t="str">
        <f>HYPERLINK("http://ictvonline.org/taxonomy/p/taxonomy-history?taxnode_id=201850744","ICTVonline=201850744")</f>
        <v>ICTVonline=201850744</v>
      </c>
      <c r="AA2796" s="1">
        <v>201850000</v>
      </c>
      <c r="AB2796" s="1">
        <v>34</v>
      </c>
    </row>
    <row r="2797" spans="1:28" x14ac:dyDescent="0.15">
      <c r="A2797" s="1">
        <v>7128</v>
      </c>
      <c r="J2797" s="1" t="s">
        <v>1332</v>
      </c>
      <c r="L2797" s="1" t="s">
        <v>901</v>
      </c>
      <c r="M2797" s="1" t="s">
        <v>4118</v>
      </c>
      <c r="N2797" s="1" t="s">
        <v>4120</v>
      </c>
      <c r="P2797" s="1" t="s">
        <v>3300</v>
      </c>
      <c r="Q2797" s="3">
        <v>0</v>
      </c>
      <c r="S2797" s="23" t="s">
        <v>5949</v>
      </c>
      <c r="W2797" s="45" t="str">
        <f>HYPERLINK("http://ictvonline.org/taxonomy/p/taxonomy-history?taxnode_id=201850745","ICTVonline=201850745")</f>
        <v>ICTVonline=201850745</v>
      </c>
      <c r="AA2797" s="1">
        <v>201850000</v>
      </c>
      <c r="AB2797" s="1">
        <v>34</v>
      </c>
    </row>
    <row r="2798" spans="1:28" x14ac:dyDescent="0.15">
      <c r="A2798" s="1">
        <v>7130</v>
      </c>
      <c r="J2798" s="1" t="s">
        <v>1332</v>
      </c>
      <c r="L2798" s="1" t="s">
        <v>901</v>
      </c>
      <c r="M2798" s="1" t="s">
        <v>4118</v>
      </c>
      <c r="N2798" s="1" t="s">
        <v>4120</v>
      </c>
      <c r="P2798" s="1" t="s">
        <v>3305</v>
      </c>
      <c r="Q2798" s="3">
        <v>0</v>
      </c>
      <c r="S2798" s="23" t="s">
        <v>5949</v>
      </c>
      <c r="W2798" s="45" t="str">
        <f>HYPERLINK("http://ictvonline.org/taxonomy/p/taxonomy-history?taxnode_id=201850746","ICTVonline=201850746")</f>
        <v>ICTVonline=201850746</v>
      </c>
      <c r="AA2798" s="1">
        <v>201850000</v>
      </c>
      <c r="AB2798" s="1">
        <v>34</v>
      </c>
    </row>
    <row r="2799" spans="1:28" x14ac:dyDescent="0.15">
      <c r="A2799" s="1">
        <v>7132</v>
      </c>
      <c r="J2799" s="1" t="s">
        <v>1332</v>
      </c>
      <c r="L2799" s="1" t="s">
        <v>901</v>
      </c>
      <c r="M2799" s="1" t="s">
        <v>4118</v>
      </c>
      <c r="N2799" s="1" t="s">
        <v>4120</v>
      </c>
      <c r="P2799" s="1" t="s">
        <v>4333</v>
      </c>
      <c r="Q2799" s="3">
        <v>0</v>
      </c>
      <c r="S2799" s="23" t="s">
        <v>5949</v>
      </c>
      <c r="W2799" s="45" t="str">
        <f>HYPERLINK("http://ictvonline.org/taxonomy/p/taxonomy-history?taxnode_id=201850747","ICTVonline=201850747")</f>
        <v>ICTVonline=201850747</v>
      </c>
      <c r="AA2799" s="1">
        <v>201850000</v>
      </c>
      <c r="AB2799" s="1">
        <v>34</v>
      </c>
    </row>
    <row r="2800" spans="1:28" x14ac:dyDescent="0.15">
      <c r="A2800" s="1">
        <v>7134</v>
      </c>
      <c r="J2800" s="1" t="s">
        <v>1332</v>
      </c>
      <c r="L2800" s="1" t="s">
        <v>901</v>
      </c>
      <c r="M2800" s="1" t="s">
        <v>4118</v>
      </c>
      <c r="N2800" s="1" t="s">
        <v>4120</v>
      </c>
      <c r="P2800" s="1" t="s">
        <v>3306</v>
      </c>
      <c r="Q2800" s="3">
        <v>0</v>
      </c>
      <c r="S2800" s="23" t="s">
        <v>5949</v>
      </c>
      <c r="W2800" s="45" t="str">
        <f>HYPERLINK("http://ictvonline.org/taxonomy/p/taxonomy-history?taxnode_id=201850748","ICTVonline=201850748")</f>
        <v>ICTVonline=201850748</v>
      </c>
      <c r="AA2800" s="1">
        <v>201850000</v>
      </c>
      <c r="AB2800" s="1">
        <v>34</v>
      </c>
    </row>
    <row r="2801" spans="1:28" x14ac:dyDescent="0.15">
      <c r="A2801" s="1">
        <v>7138</v>
      </c>
      <c r="J2801" s="1" t="s">
        <v>1332</v>
      </c>
      <c r="L2801" s="1" t="s">
        <v>901</v>
      </c>
      <c r="M2801" s="1" t="s">
        <v>4118</v>
      </c>
      <c r="N2801" s="1" t="s">
        <v>6490</v>
      </c>
      <c r="P2801" s="1" t="s">
        <v>4334</v>
      </c>
      <c r="Q2801" s="3">
        <v>0</v>
      </c>
      <c r="S2801" s="23" t="s">
        <v>5949</v>
      </c>
      <c r="T2801" s="23" t="s">
        <v>4931</v>
      </c>
      <c r="U2801" s="3">
        <v>34</v>
      </c>
      <c r="W2801" s="45" t="str">
        <f>HYPERLINK("http://ictvonline.org/taxonomy/p/taxonomy-history?taxnode_id=201850750","ICTVonline=201850750")</f>
        <v>ICTVonline=201850750</v>
      </c>
      <c r="AA2801" s="1">
        <v>201850000</v>
      </c>
      <c r="AB2801" s="1">
        <v>34</v>
      </c>
    </row>
    <row r="2802" spans="1:28" x14ac:dyDescent="0.15">
      <c r="A2802" s="1">
        <v>7140</v>
      </c>
      <c r="J2802" s="1" t="s">
        <v>1332</v>
      </c>
      <c r="L2802" s="1" t="s">
        <v>901</v>
      </c>
      <c r="M2802" s="1" t="s">
        <v>4118</v>
      </c>
      <c r="N2802" s="1" t="s">
        <v>6490</v>
      </c>
      <c r="P2802" s="1" t="s">
        <v>4335</v>
      </c>
      <c r="Q2802" s="3">
        <v>0</v>
      </c>
      <c r="S2802" s="23" t="s">
        <v>5949</v>
      </c>
      <c r="T2802" s="23" t="s">
        <v>4931</v>
      </c>
      <c r="U2802" s="3">
        <v>34</v>
      </c>
      <c r="W2802" s="45" t="str">
        <f>HYPERLINK("http://ictvonline.org/taxonomy/p/taxonomy-history?taxnode_id=201850751","ICTVonline=201850751")</f>
        <v>ICTVonline=201850751</v>
      </c>
      <c r="AA2802" s="1">
        <v>201850000</v>
      </c>
      <c r="AB2802" s="1">
        <v>34</v>
      </c>
    </row>
    <row r="2803" spans="1:28" x14ac:dyDescent="0.15">
      <c r="A2803" s="1">
        <v>7142</v>
      </c>
      <c r="J2803" s="1" t="s">
        <v>1332</v>
      </c>
      <c r="L2803" s="1" t="s">
        <v>901</v>
      </c>
      <c r="M2803" s="1" t="s">
        <v>4118</v>
      </c>
      <c r="N2803" s="1" t="s">
        <v>6490</v>
      </c>
      <c r="P2803" s="1" t="s">
        <v>3301</v>
      </c>
      <c r="Q2803" s="3">
        <v>0</v>
      </c>
      <c r="S2803" s="23" t="s">
        <v>5949</v>
      </c>
      <c r="T2803" s="23" t="s">
        <v>4931</v>
      </c>
      <c r="U2803" s="3">
        <v>34</v>
      </c>
      <c r="W2803" s="45" t="str">
        <f>HYPERLINK("http://ictvonline.org/taxonomy/p/taxonomy-history?taxnode_id=201850752","ICTVonline=201850752")</f>
        <v>ICTVonline=201850752</v>
      </c>
      <c r="AA2803" s="1">
        <v>201850000</v>
      </c>
      <c r="AB2803" s="1">
        <v>34</v>
      </c>
    </row>
    <row r="2804" spans="1:28" x14ac:dyDescent="0.15">
      <c r="A2804" s="1">
        <v>7144</v>
      </c>
      <c r="J2804" s="1" t="s">
        <v>1332</v>
      </c>
      <c r="L2804" s="1" t="s">
        <v>901</v>
      </c>
      <c r="M2804" s="1" t="s">
        <v>4118</v>
      </c>
      <c r="N2804" s="1" t="s">
        <v>6490</v>
      </c>
      <c r="P2804" s="1" t="s">
        <v>4336</v>
      </c>
      <c r="Q2804" s="3">
        <v>0</v>
      </c>
      <c r="S2804" s="23" t="s">
        <v>5949</v>
      </c>
      <c r="T2804" s="23" t="s">
        <v>4931</v>
      </c>
      <c r="U2804" s="3">
        <v>34</v>
      </c>
      <c r="W2804" s="45" t="str">
        <f>HYPERLINK("http://ictvonline.org/taxonomy/p/taxonomy-history?taxnode_id=201850753","ICTVonline=201850753")</f>
        <v>ICTVonline=201850753</v>
      </c>
      <c r="AA2804" s="1">
        <v>201850000</v>
      </c>
      <c r="AB2804" s="1">
        <v>34</v>
      </c>
    </row>
    <row r="2805" spans="1:28" x14ac:dyDescent="0.15">
      <c r="A2805" s="1">
        <v>7146</v>
      </c>
      <c r="J2805" s="1" t="s">
        <v>1332</v>
      </c>
      <c r="L2805" s="1" t="s">
        <v>901</v>
      </c>
      <c r="M2805" s="1" t="s">
        <v>4118</v>
      </c>
      <c r="N2805" s="1" t="s">
        <v>6490</v>
      </c>
      <c r="P2805" s="1" t="s">
        <v>3302</v>
      </c>
      <c r="Q2805" s="3">
        <v>1</v>
      </c>
      <c r="S2805" s="23" t="s">
        <v>5949</v>
      </c>
      <c r="T2805" s="23" t="s">
        <v>4931</v>
      </c>
      <c r="U2805" s="3">
        <v>34</v>
      </c>
      <c r="W2805" s="45" t="str">
        <f>HYPERLINK("http://ictvonline.org/taxonomy/p/taxonomy-history?taxnode_id=201850754","ICTVonline=201850754")</f>
        <v>ICTVonline=201850754</v>
      </c>
      <c r="AA2805" s="1">
        <v>201850000</v>
      </c>
      <c r="AB2805" s="1">
        <v>34</v>
      </c>
    </row>
    <row r="2806" spans="1:28" x14ac:dyDescent="0.15">
      <c r="A2806" s="1">
        <v>7148</v>
      </c>
      <c r="J2806" s="1" t="s">
        <v>1332</v>
      </c>
      <c r="L2806" s="1" t="s">
        <v>901</v>
      </c>
      <c r="M2806" s="1" t="s">
        <v>4118</v>
      </c>
      <c r="N2806" s="1" t="s">
        <v>6490</v>
      </c>
      <c r="P2806" s="1" t="s">
        <v>4337</v>
      </c>
      <c r="Q2806" s="3">
        <v>0</v>
      </c>
      <c r="S2806" s="23" t="s">
        <v>5949</v>
      </c>
      <c r="T2806" s="23" t="s">
        <v>4931</v>
      </c>
      <c r="U2806" s="3">
        <v>34</v>
      </c>
      <c r="W2806" s="45" t="str">
        <f>HYPERLINK("http://ictvonline.org/taxonomy/p/taxonomy-history?taxnode_id=201850755","ICTVonline=201850755")</f>
        <v>ICTVonline=201850755</v>
      </c>
      <c r="AA2806" s="1">
        <v>201850000</v>
      </c>
      <c r="AB2806" s="1">
        <v>34</v>
      </c>
    </row>
    <row r="2807" spans="1:28" x14ac:dyDescent="0.15">
      <c r="A2807" s="1">
        <v>7150</v>
      </c>
      <c r="J2807" s="1" t="s">
        <v>1332</v>
      </c>
      <c r="L2807" s="1" t="s">
        <v>901</v>
      </c>
      <c r="M2807" s="1" t="s">
        <v>4118</v>
      </c>
      <c r="N2807" s="1" t="s">
        <v>6490</v>
      </c>
      <c r="P2807" s="1" t="s">
        <v>4338</v>
      </c>
      <c r="Q2807" s="3">
        <v>0</v>
      </c>
      <c r="S2807" s="23" t="s">
        <v>5949</v>
      </c>
      <c r="T2807" s="23" t="s">
        <v>4931</v>
      </c>
      <c r="U2807" s="3">
        <v>34</v>
      </c>
      <c r="W2807" s="45" t="str">
        <f>HYPERLINK("http://ictvonline.org/taxonomy/p/taxonomy-history?taxnode_id=201850756","ICTVonline=201850756")</f>
        <v>ICTVonline=201850756</v>
      </c>
      <c r="AA2807" s="1">
        <v>201850000</v>
      </c>
      <c r="AB2807" s="1">
        <v>34</v>
      </c>
    </row>
    <row r="2808" spans="1:28" x14ac:dyDescent="0.15">
      <c r="A2808" s="1">
        <v>7154</v>
      </c>
      <c r="J2808" s="1" t="s">
        <v>1332</v>
      </c>
      <c r="L2808" s="1" t="s">
        <v>901</v>
      </c>
      <c r="M2808" s="1" t="s">
        <v>4118</v>
      </c>
      <c r="N2808" s="1" t="s">
        <v>4121</v>
      </c>
      <c r="P2808" s="1" t="s">
        <v>3296</v>
      </c>
      <c r="Q2808" s="3">
        <v>0</v>
      </c>
      <c r="S2808" s="23" t="s">
        <v>5949</v>
      </c>
      <c r="W2808" s="45" t="str">
        <f>HYPERLINK("http://ictvonline.org/taxonomy/p/taxonomy-history?taxnode_id=201850758","ICTVonline=201850758")</f>
        <v>ICTVonline=201850758</v>
      </c>
      <c r="AA2808" s="1">
        <v>201850000</v>
      </c>
      <c r="AB2808" s="1">
        <v>34</v>
      </c>
    </row>
    <row r="2809" spans="1:28" x14ac:dyDescent="0.15">
      <c r="A2809" s="1">
        <v>7156</v>
      </c>
      <c r="J2809" s="1" t="s">
        <v>1332</v>
      </c>
      <c r="L2809" s="1" t="s">
        <v>901</v>
      </c>
      <c r="M2809" s="1" t="s">
        <v>4118</v>
      </c>
      <c r="N2809" s="1" t="s">
        <v>4121</v>
      </c>
      <c r="P2809" s="1" t="s">
        <v>4339</v>
      </c>
      <c r="Q2809" s="3">
        <v>0</v>
      </c>
      <c r="S2809" s="23" t="s">
        <v>5949</v>
      </c>
      <c r="W2809" s="45" t="str">
        <f>HYPERLINK("http://ictvonline.org/taxonomy/p/taxonomy-history?taxnode_id=201850759","ICTVonline=201850759")</f>
        <v>ICTVonline=201850759</v>
      </c>
      <c r="AA2809" s="1">
        <v>201850000</v>
      </c>
      <c r="AB2809" s="1">
        <v>34</v>
      </c>
    </row>
    <row r="2810" spans="1:28" x14ac:dyDescent="0.15">
      <c r="A2810" s="1">
        <v>7158</v>
      </c>
      <c r="J2810" s="1" t="s">
        <v>1332</v>
      </c>
      <c r="L2810" s="1" t="s">
        <v>901</v>
      </c>
      <c r="M2810" s="1" t="s">
        <v>4118</v>
      </c>
      <c r="N2810" s="1" t="s">
        <v>4121</v>
      </c>
      <c r="P2810" s="1" t="s">
        <v>3299</v>
      </c>
      <c r="Q2810" s="3">
        <v>0</v>
      </c>
      <c r="S2810" s="23" t="s">
        <v>5949</v>
      </c>
      <c r="W2810" s="45" t="str">
        <f>HYPERLINK("http://ictvonline.org/taxonomy/p/taxonomy-history?taxnode_id=201850760","ICTVonline=201850760")</f>
        <v>ICTVonline=201850760</v>
      </c>
      <c r="AA2810" s="1">
        <v>201850000</v>
      </c>
      <c r="AB2810" s="1">
        <v>34</v>
      </c>
    </row>
    <row r="2811" spans="1:28" x14ac:dyDescent="0.15">
      <c r="A2811" s="1">
        <v>7160</v>
      </c>
      <c r="J2811" s="1" t="s">
        <v>1332</v>
      </c>
      <c r="L2811" s="1" t="s">
        <v>901</v>
      </c>
      <c r="M2811" s="1" t="s">
        <v>4118</v>
      </c>
      <c r="N2811" s="1" t="s">
        <v>4121</v>
      </c>
      <c r="P2811" s="1" t="s">
        <v>3303</v>
      </c>
      <c r="Q2811" s="3">
        <v>1</v>
      </c>
      <c r="S2811" s="23" t="s">
        <v>5949</v>
      </c>
      <c r="W2811" s="45" t="str">
        <f>HYPERLINK("http://ictvonline.org/taxonomy/p/taxonomy-history?taxnode_id=201850761","ICTVonline=201850761")</f>
        <v>ICTVonline=201850761</v>
      </c>
      <c r="AA2811" s="1">
        <v>201850000</v>
      </c>
      <c r="AB2811" s="1">
        <v>34</v>
      </c>
    </row>
    <row r="2812" spans="1:28" x14ac:dyDescent="0.15">
      <c r="A2812" s="1">
        <v>7164</v>
      </c>
      <c r="J2812" s="1" t="s">
        <v>1332</v>
      </c>
      <c r="L2812" s="1" t="s">
        <v>901</v>
      </c>
      <c r="M2812" s="1" t="s">
        <v>4118</v>
      </c>
      <c r="N2812" s="1" t="s">
        <v>4122</v>
      </c>
      <c r="P2812" s="1" t="s">
        <v>4340</v>
      </c>
      <c r="Q2812" s="3">
        <v>0</v>
      </c>
      <c r="S2812" s="23" t="s">
        <v>5949</v>
      </c>
      <c r="W2812" s="45" t="str">
        <f>HYPERLINK("http://ictvonline.org/taxonomy/p/taxonomy-history?taxnode_id=201850763","ICTVonline=201850763")</f>
        <v>ICTVonline=201850763</v>
      </c>
      <c r="AA2812" s="1">
        <v>201850000</v>
      </c>
      <c r="AB2812" s="1">
        <v>34</v>
      </c>
    </row>
    <row r="2813" spans="1:28" x14ac:dyDescent="0.15">
      <c r="A2813" s="1">
        <v>7166</v>
      </c>
      <c r="J2813" s="1" t="s">
        <v>1332</v>
      </c>
      <c r="L2813" s="1" t="s">
        <v>901</v>
      </c>
      <c r="M2813" s="1" t="s">
        <v>4118</v>
      </c>
      <c r="N2813" s="1" t="s">
        <v>4122</v>
      </c>
      <c r="P2813" s="1" t="s">
        <v>3304</v>
      </c>
      <c r="Q2813" s="3">
        <v>1</v>
      </c>
      <c r="S2813" s="23" t="s">
        <v>5949</v>
      </c>
      <c r="W2813" s="45" t="str">
        <f>HYPERLINK("http://ictvonline.org/taxonomy/p/taxonomy-history?taxnode_id=201850764","ICTVonline=201850764")</f>
        <v>ICTVonline=201850764</v>
      </c>
      <c r="AA2813" s="1">
        <v>201850000</v>
      </c>
      <c r="AB2813" s="1">
        <v>34</v>
      </c>
    </row>
    <row r="2814" spans="1:28" x14ac:dyDescent="0.15">
      <c r="A2814" s="1">
        <v>7168</v>
      </c>
      <c r="J2814" s="1" t="s">
        <v>1332</v>
      </c>
      <c r="L2814" s="1" t="s">
        <v>901</v>
      </c>
      <c r="M2814" s="1" t="s">
        <v>4118</v>
      </c>
      <c r="N2814" s="1" t="s">
        <v>4122</v>
      </c>
      <c r="P2814" s="1" t="s">
        <v>6491</v>
      </c>
      <c r="Q2814" s="3">
        <v>0</v>
      </c>
      <c r="S2814" s="23" t="s">
        <v>5949</v>
      </c>
      <c r="W2814" s="45" t="str">
        <f>HYPERLINK("http://ictvonline.org/taxonomy/p/taxonomy-history?taxnode_id=201851060","ICTVonline=201851060")</f>
        <v>ICTVonline=201851060</v>
      </c>
      <c r="AA2814" s="1">
        <v>201850000</v>
      </c>
      <c r="AB2814" s="1">
        <v>34</v>
      </c>
    </row>
    <row r="2815" spans="1:28" x14ac:dyDescent="0.15">
      <c r="A2815" s="1">
        <v>7174</v>
      </c>
      <c r="J2815" s="1" t="s">
        <v>1332</v>
      </c>
      <c r="L2815" s="1" t="s">
        <v>901</v>
      </c>
      <c r="M2815" s="1" t="s">
        <v>5030</v>
      </c>
      <c r="N2815" s="1" t="s">
        <v>5031</v>
      </c>
      <c r="P2815" s="1" t="s">
        <v>3167</v>
      </c>
      <c r="Q2815" s="3">
        <v>0</v>
      </c>
      <c r="S2815" s="23" t="s">
        <v>5949</v>
      </c>
      <c r="W2815" s="45" t="str">
        <f>HYPERLINK("http://ictvonline.org/taxonomy/p/taxonomy-history?taxnode_id=201850920","ICTVonline=201850920")</f>
        <v>ICTVonline=201850920</v>
      </c>
      <c r="AA2815" s="1">
        <v>201850000</v>
      </c>
      <c r="AB2815" s="1">
        <v>34</v>
      </c>
    </row>
    <row r="2816" spans="1:28" x14ac:dyDescent="0.15">
      <c r="A2816" s="1">
        <v>7176</v>
      </c>
      <c r="J2816" s="1" t="s">
        <v>1332</v>
      </c>
      <c r="L2816" s="1" t="s">
        <v>901</v>
      </c>
      <c r="M2816" s="1" t="s">
        <v>5030</v>
      </c>
      <c r="N2816" s="1" t="s">
        <v>5031</v>
      </c>
      <c r="P2816" s="1" t="s">
        <v>3168</v>
      </c>
      <c r="Q2816" s="3">
        <v>1</v>
      </c>
      <c r="S2816" s="23" t="s">
        <v>5949</v>
      </c>
      <c r="W2816" s="45" t="str">
        <f>HYPERLINK("http://ictvonline.org/taxonomy/p/taxonomy-history?taxnode_id=201850921","ICTVonline=201850921")</f>
        <v>ICTVonline=201850921</v>
      </c>
      <c r="AA2816" s="1">
        <v>201850000</v>
      </c>
      <c r="AB2816" s="1">
        <v>34</v>
      </c>
    </row>
    <row r="2817" spans="1:28" x14ac:dyDescent="0.15">
      <c r="A2817" s="1">
        <v>7182</v>
      </c>
      <c r="J2817" s="1" t="s">
        <v>1332</v>
      </c>
      <c r="L2817" s="1" t="s">
        <v>901</v>
      </c>
      <c r="M2817" s="1" t="s">
        <v>5033</v>
      </c>
      <c r="N2817" s="1" t="s">
        <v>5034</v>
      </c>
      <c r="P2817" s="1" t="s">
        <v>5035</v>
      </c>
      <c r="Q2817" s="3">
        <v>1</v>
      </c>
      <c r="S2817" s="23" t="s">
        <v>5949</v>
      </c>
      <c r="W2817" s="45" t="str">
        <f>HYPERLINK("http://ictvonline.org/taxonomy/p/taxonomy-history?taxnode_id=201855508","ICTVonline=201855508")</f>
        <v>ICTVonline=201855508</v>
      </c>
      <c r="AA2817" s="1">
        <v>201850000</v>
      </c>
      <c r="AB2817" s="1">
        <v>34</v>
      </c>
    </row>
    <row r="2818" spans="1:28" x14ac:dyDescent="0.15">
      <c r="A2818" s="1">
        <v>7186</v>
      </c>
      <c r="J2818" s="1" t="s">
        <v>1332</v>
      </c>
      <c r="L2818" s="1" t="s">
        <v>901</v>
      </c>
      <c r="M2818" s="1" t="s">
        <v>5033</v>
      </c>
      <c r="N2818" s="1" t="s">
        <v>5036</v>
      </c>
      <c r="P2818" s="1" t="s">
        <v>5037</v>
      </c>
      <c r="Q2818" s="3">
        <v>1</v>
      </c>
      <c r="S2818" s="23" t="s">
        <v>5949</v>
      </c>
      <c r="W2818" s="45" t="str">
        <f>HYPERLINK("http://ictvonline.org/taxonomy/p/taxonomy-history?taxnode_id=201855510","ICTVonline=201855510")</f>
        <v>ICTVonline=201855510</v>
      </c>
      <c r="AA2818" s="1">
        <v>201850000</v>
      </c>
      <c r="AB2818" s="1">
        <v>34</v>
      </c>
    </row>
    <row r="2819" spans="1:28" x14ac:dyDescent="0.15">
      <c r="A2819" s="1">
        <v>7192</v>
      </c>
      <c r="J2819" s="1" t="s">
        <v>1332</v>
      </c>
      <c r="L2819" s="1" t="s">
        <v>901</v>
      </c>
      <c r="M2819" s="1" t="s">
        <v>3057</v>
      </c>
      <c r="N2819" s="1" t="s">
        <v>6492</v>
      </c>
      <c r="P2819" s="1" t="s">
        <v>3073</v>
      </c>
      <c r="Q2819" s="3">
        <v>1</v>
      </c>
      <c r="S2819" s="23" t="s">
        <v>5949</v>
      </c>
      <c r="T2819" s="23" t="s">
        <v>4931</v>
      </c>
      <c r="U2819" s="3">
        <v>34</v>
      </c>
      <c r="W2819" s="45" t="str">
        <f>HYPERLINK("http://ictvonline.org/taxonomy/p/taxonomy-history?taxnode_id=201850786","ICTVonline=201850786")</f>
        <v>ICTVonline=201850786</v>
      </c>
      <c r="AA2819" s="1">
        <v>201850000</v>
      </c>
      <c r="AB2819" s="1">
        <v>34</v>
      </c>
    </row>
    <row r="2820" spans="1:28" x14ac:dyDescent="0.15">
      <c r="A2820" s="1">
        <v>7196</v>
      </c>
      <c r="J2820" s="1" t="s">
        <v>1332</v>
      </c>
      <c r="L2820" s="1" t="s">
        <v>901</v>
      </c>
      <c r="M2820" s="1" t="s">
        <v>3057</v>
      </c>
      <c r="N2820" s="1" t="s">
        <v>3058</v>
      </c>
      <c r="P2820" s="1" t="s">
        <v>3059</v>
      </c>
      <c r="Q2820" s="3">
        <v>0</v>
      </c>
      <c r="S2820" s="23" t="s">
        <v>5949</v>
      </c>
      <c r="W2820" s="45" t="str">
        <f>HYPERLINK("http://ictvonline.org/taxonomy/p/taxonomy-history?taxnode_id=201850767","ICTVonline=201850767")</f>
        <v>ICTVonline=201850767</v>
      </c>
      <c r="AA2820" s="1">
        <v>201850000</v>
      </c>
      <c r="AB2820" s="1">
        <v>34</v>
      </c>
    </row>
    <row r="2821" spans="1:28" x14ac:dyDescent="0.15">
      <c r="A2821" s="1">
        <v>7198</v>
      </c>
      <c r="J2821" s="1" t="s">
        <v>1332</v>
      </c>
      <c r="L2821" s="1" t="s">
        <v>901</v>
      </c>
      <c r="M2821" s="1" t="s">
        <v>3057</v>
      </c>
      <c r="N2821" s="1" t="s">
        <v>3058</v>
      </c>
      <c r="P2821" s="1" t="s">
        <v>3060</v>
      </c>
      <c r="Q2821" s="3">
        <v>0</v>
      </c>
      <c r="S2821" s="23" t="s">
        <v>5949</v>
      </c>
      <c r="W2821" s="45" t="str">
        <f>HYPERLINK("http://ictvonline.org/taxonomy/p/taxonomy-history?taxnode_id=201850768","ICTVonline=201850768")</f>
        <v>ICTVonline=201850768</v>
      </c>
      <c r="AA2821" s="1">
        <v>201850000</v>
      </c>
      <c r="AB2821" s="1">
        <v>34</v>
      </c>
    </row>
    <row r="2822" spans="1:28" x14ac:dyDescent="0.15">
      <c r="A2822" s="1">
        <v>7200</v>
      </c>
      <c r="J2822" s="1" t="s">
        <v>1332</v>
      </c>
      <c r="L2822" s="1" t="s">
        <v>901</v>
      </c>
      <c r="M2822" s="1" t="s">
        <v>3057</v>
      </c>
      <c r="N2822" s="1" t="s">
        <v>3058</v>
      </c>
      <c r="P2822" s="1" t="s">
        <v>4123</v>
      </c>
      <c r="Q2822" s="3">
        <v>0</v>
      </c>
      <c r="S2822" s="23" t="s">
        <v>5949</v>
      </c>
      <c r="W2822" s="45" t="str">
        <f>HYPERLINK("http://ictvonline.org/taxonomy/p/taxonomy-history?taxnode_id=201850769","ICTVonline=201850769")</f>
        <v>ICTVonline=201850769</v>
      </c>
      <c r="AA2822" s="1">
        <v>201850000</v>
      </c>
      <c r="AB2822" s="1">
        <v>34</v>
      </c>
    </row>
    <row r="2823" spans="1:28" x14ac:dyDescent="0.15">
      <c r="A2823" s="1">
        <v>7202</v>
      </c>
      <c r="J2823" s="1" t="s">
        <v>1332</v>
      </c>
      <c r="L2823" s="1" t="s">
        <v>901</v>
      </c>
      <c r="M2823" s="1" t="s">
        <v>3057</v>
      </c>
      <c r="N2823" s="1" t="s">
        <v>3058</v>
      </c>
      <c r="P2823" s="1" t="s">
        <v>3061</v>
      </c>
      <c r="Q2823" s="3">
        <v>1</v>
      </c>
      <c r="S2823" s="23" t="s">
        <v>5949</v>
      </c>
      <c r="W2823" s="45" t="str">
        <f>HYPERLINK("http://ictvonline.org/taxonomy/p/taxonomy-history?taxnode_id=201850770","ICTVonline=201850770")</f>
        <v>ICTVonline=201850770</v>
      </c>
      <c r="AA2823" s="1">
        <v>201850000</v>
      </c>
      <c r="AB2823" s="1">
        <v>34</v>
      </c>
    </row>
    <row r="2824" spans="1:28" x14ac:dyDescent="0.15">
      <c r="A2824" s="1">
        <v>7204</v>
      </c>
      <c r="J2824" s="1" t="s">
        <v>1332</v>
      </c>
      <c r="L2824" s="1" t="s">
        <v>901</v>
      </c>
      <c r="M2824" s="1" t="s">
        <v>3057</v>
      </c>
      <c r="N2824" s="1" t="s">
        <v>3058</v>
      </c>
      <c r="P2824" s="1" t="s">
        <v>4935</v>
      </c>
      <c r="Q2824" s="3">
        <v>0</v>
      </c>
      <c r="S2824" s="23" t="s">
        <v>5949</v>
      </c>
      <c r="W2824" s="45" t="str">
        <f>HYPERLINK("http://ictvonline.org/taxonomy/p/taxonomy-history?taxnode_id=201850771","ICTVonline=201850771")</f>
        <v>ICTVonline=201850771</v>
      </c>
      <c r="AA2824" s="1">
        <v>201850000</v>
      </c>
      <c r="AB2824" s="1">
        <v>34</v>
      </c>
    </row>
    <row r="2825" spans="1:28" x14ac:dyDescent="0.15">
      <c r="A2825" s="1">
        <v>7206</v>
      </c>
      <c r="J2825" s="1" t="s">
        <v>1332</v>
      </c>
      <c r="L2825" s="1" t="s">
        <v>901</v>
      </c>
      <c r="M2825" s="1" t="s">
        <v>3057</v>
      </c>
      <c r="N2825" s="1" t="s">
        <v>3058</v>
      </c>
      <c r="P2825" s="1" t="s">
        <v>4936</v>
      </c>
      <c r="Q2825" s="3">
        <v>0</v>
      </c>
      <c r="S2825" s="23" t="s">
        <v>5949</v>
      </c>
      <c r="W2825" s="45" t="str">
        <f>HYPERLINK("http://ictvonline.org/taxonomy/p/taxonomy-history?taxnode_id=201850772","ICTVonline=201850772")</f>
        <v>ICTVonline=201850772</v>
      </c>
      <c r="AA2825" s="1">
        <v>201850000</v>
      </c>
      <c r="AB2825" s="1">
        <v>34</v>
      </c>
    </row>
    <row r="2826" spans="1:28" x14ac:dyDescent="0.15">
      <c r="A2826" s="1">
        <v>7208</v>
      </c>
      <c r="J2826" s="1" t="s">
        <v>1332</v>
      </c>
      <c r="L2826" s="1" t="s">
        <v>901</v>
      </c>
      <c r="M2826" s="1" t="s">
        <v>3057</v>
      </c>
      <c r="N2826" s="1" t="s">
        <v>3058</v>
      </c>
      <c r="P2826" s="1" t="s">
        <v>3062</v>
      </c>
      <c r="Q2826" s="3">
        <v>0</v>
      </c>
      <c r="S2826" s="23" t="s">
        <v>5949</v>
      </c>
      <c r="W2826" s="45" t="str">
        <f>HYPERLINK("http://ictvonline.org/taxonomy/p/taxonomy-history?taxnode_id=201850773","ICTVonline=201850773")</f>
        <v>ICTVonline=201850773</v>
      </c>
      <c r="AA2826" s="1">
        <v>201850000</v>
      </c>
      <c r="AB2826" s="1">
        <v>34</v>
      </c>
    </row>
    <row r="2827" spans="1:28" x14ac:dyDescent="0.15">
      <c r="A2827" s="1">
        <v>7210</v>
      </c>
      <c r="J2827" s="1" t="s">
        <v>1332</v>
      </c>
      <c r="L2827" s="1" t="s">
        <v>901</v>
      </c>
      <c r="M2827" s="1" t="s">
        <v>3057</v>
      </c>
      <c r="N2827" s="1" t="s">
        <v>3058</v>
      </c>
      <c r="P2827" s="1" t="s">
        <v>3063</v>
      </c>
      <c r="Q2827" s="3">
        <v>0</v>
      </c>
      <c r="S2827" s="23" t="s">
        <v>5949</v>
      </c>
      <c r="W2827" s="45" t="str">
        <f>HYPERLINK("http://ictvonline.org/taxonomy/p/taxonomy-history?taxnode_id=201850774","ICTVonline=201850774")</f>
        <v>ICTVonline=201850774</v>
      </c>
      <c r="AA2827" s="1">
        <v>201850000</v>
      </c>
      <c r="AB2827" s="1">
        <v>34</v>
      </c>
    </row>
    <row r="2828" spans="1:28" x14ac:dyDescent="0.15">
      <c r="A2828" s="1">
        <v>7212</v>
      </c>
      <c r="J2828" s="1" t="s">
        <v>1332</v>
      </c>
      <c r="L2828" s="1" t="s">
        <v>901</v>
      </c>
      <c r="M2828" s="1" t="s">
        <v>3057</v>
      </c>
      <c r="N2828" s="1" t="s">
        <v>3058</v>
      </c>
      <c r="P2828" s="1" t="s">
        <v>3064</v>
      </c>
      <c r="Q2828" s="3">
        <v>0</v>
      </c>
      <c r="S2828" s="23" t="s">
        <v>5949</v>
      </c>
      <c r="W2828" s="45" t="str">
        <f>HYPERLINK("http://ictvonline.org/taxonomy/p/taxonomy-history?taxnode_id=201850775","ICTVonline=201850775")</f>
        <v>ICTVonline=201850775</v>
      </c>
      <c r="AA2828" s="1">
        <v>201850000</v>
      </c>
      <c r="AB2828" s="1">
        <v>34</v>
      </c>
    </row>
    <row r="2829" spans="1:28" x14ac:dyDescent="0.15">
      <c r="A2829" s="1">
        <v>7214</v>
      </c>
      <c r="J2829" s="1" t="s">
        <v>1332</v>
      </c>
      <c r="L2829" s="1" t="s">
        <v>901</v>
      </c>
      <c r="M2829" s="1" t="s">
        <v>3057</v>
      </c>
      <c r="N2829" s="1" t="s">
        <v>3058</v>
      </c>
      <c r="P2829" s="1" t="s">
        <v>3065</v>
      </c>
      <c r="Q2829" s="3">
        <v>0</v>
      </c>
      <c r="S2829" s="23" t="s">
        <v>5949</v>
      </c>
      <c r="W2829" s="45" t="str">
        <f>HYPERLINK("http://ictvonline.org/taxonomy/p/taxonomy-history?taxnode_id=201850776","ICTVonline=201850776")</f>
        <v>ICTVonline=201850776</v>
      </c>
      <c r="AA2829" s="1">
        <v>201850000</v>
      </c>
      <c r="AB2829" s="1">
        <v>34</v>
      </c>
    </row>
    <row r="2830" spans="1:28" x14ac:dyDescent="0.15">
      <c r="A2830" s="1">
        <v>7216</v>
      </c>
      <c r="J2830" s="1" t="s">
        <v>1332</v>
      </c>
      <c r="L2830" s="1" t="s">
        <v>901</v>
      </c>
      <c r="M2830" s="1" t="s">
        <v>3057</v>
      </c>
      <c r="N2830" s="1" t="s">
        <v>3058</v>
      </c>
      <c r="P2830" s="1" t="s">
        <v>3066</v>
      </c>
      <c r="Q2830" s="3">
        <v>0</v>
      </c>
      <c r="S2830" s="23" t="s">
        <v>5949</v>
      </c>
      <c r="W2830" s="45" t="str">
        <f>HYPERLINK("http://ictvonline.org/taxonomy/p/taxonomy-history?taxnode_id=201850777","ICTVonline=201850777")</f>
        <v>ICTVonline=201850777</v>
      </c>
      <c r="AA2830" s="1">
        <v>201850000</v>
      </c>
      <c r="AB2830" s="1">
        <v>34</v>
      </c>
    </row>
    <row r="2831" spans="1:28" x14ac:dyDescent="0.15">
      <c r="A2831" s="1">
        <v>7218</v>
      </c>
      <c r="J2831" s="1" t="s">
        <v>1332</v>
      </c>
      <c r="L2831" s="1" t="s">
        <v>901</v>
      </c>
      <c r="M2831" s="1" t="s">
        <v>3057</v>
      </c>
      <c r="N2831" s="1" t="s">
        <v>3058</v>
      </c>
      <c r="P2831" s="1" t="s">
        <v>3067</v>
      </c>
      <c r="Q2831" s="3">
        <v>0</v>
      </c>
      <c r="S2831" s="23" t="s">
        <v>5949</v>
      </c>
      <c r="W2831" s="45" t="str">
        <f>HYPERLINK("http://ictvonline.org/taxonomy/p/taxonomy-history?taxnode_id=201850778","ICTVonline=201850778")</f>
        <v>ICTVonline=201850778</v>
      </c>
      <c r="AA2831" s="1">
        <v>201850000</v>
      </c>
      <c r="AB2831" s="1">
        <v>34</v>
      </c>
    </row>
    <row r="2832" spans="1:28" x14ac:dyDescent="0.15">
      <c r="A2832" s="1">
        <v>7220</v>
      </c>
      <c r="J2832" s="1" t="s">
        <v>1332</v>
      </c>
      <c r="L2832" s="1" t="s">
        <v>901</v>
      </c>
      <c r="M2832" s="1" t="s">
        <v>3057</v>
      </c>
      <c r="N2832" s="1" t="s">
        <v>3058</v>
      </c>
      <c r="P2832" s="1" t="s">
        <v>3068</v>
      </c>
      <c r="Q2832" s="3">
        <v>0</v>
      </c>
      <c r="S2832" s="23" t="s">
        <v>5949</v>
      </c>
      <c r="W2832" s="45" t="str">
        <f>HYPERLINK("http://ictvonline.org/taxonomy/p/taxonomy-history?taxnode_id=201850779","ICTVonline=201850779")</f>
        <v>ICTVonline=201850779</v>
      </c>
      <c r="AA2832" s="1">
        <v>201850000</v>
      </c>
      <c r="AB2832" s="1">
        <v>34</v>
      </c>
    </row>
    <row r="2833" spans="1:28" x14ac:dyDescent="0.15">
      <c r="A2833" s="1">
        <v>7224</v>
      </c>
      <c r="J2833" s="1" t="s">
        <v>1332</v>
      </c>
      <c r="L2833" s="1" t="s">
        <v>901</v>
      </c>
      <c r="M2833" s="1" t="s">
        <v>3057</v>
      </c>
      <c r="N2833" s="1" t="s">
        <v>6493</v>
      </c>
      <c r="P2833" s="1" t="s">
        <v>3069</v>
      </c>
      <c r="Q2833" s="3">
        <v>1</v>
      </c>
      <c r="S2833" s="23" t="s">
        <v>5949</v>
      </c>
      <c r="T2833" s="23" t="s">
        <v>4931</v>
      </c>
      <c r="U2833" s="3">
        <v>34</v>
      </c>
      <c r="W2833" s="45" t="str">
        <f>HYPERLINK("http://ictvonline.org/taxonomy/p/taxonomy-history?taxnode_id=201850781","ICTVonline=201850781")</f>
        <v>ICTVonline=201850781</v>
      </c>
      <c r="AA2833" s="1">
        <v>201850000</v>
      </c>
      <c r="AB2833" s="1">
        <v>34</v>
      </c>
    </row>
    <row r="2834" spans="1:28" x14ac:dyDescent="0.15">
      <c r="A2834" s="1">
        <v>7226</v>
      </c>
      <c r="J2834" s="1" t="s">
        <v>1332</v>
      </c>
      <c r="L2834" s="1" t="s">
        <v>901</v>
      </c>
      <c r="M2834" s="1" t="s">
        <v>3057</v>
      </c>
      <c r="N2834" s="1" t="s">
        <v>6493</v>
      </c>
      <c r="P2834" s="1" t="s">
        <v>3070</v>
      </c>
      <c r="Q2834" s="3">
        <v>0</v>
      </c>
      <c r="S2834" s="23" t="s">
        <v>5949</v>
      </c>
      <c r="T2834" s="23" t="s">
        <v>4931</v>
      </c>
      <c r="U2834" s="3">
        <v>34</v>
      </c>
      <c r="W2834" s="45" t="str">
        <f>HYPERLINK("http://ictvonline.org/taxonomy/p/taxonomy-history?taxnode_id=201850782","ICTVonline=201850782")</f>
        <v>ICTVonline=201850782</v>
      </c>
      <c r="AA2834" s="1">
        <v>201850000</v>
      </c>
      <c r="AB2834" s="1">
        <v>34</v>
      </c>
    </row>
    <row r="2835" spans="1:28" x14ac:dyDescent="0.15">
      <c r="A2835" s="1">
        <v>7228</v>
      </c>
      <c r="J2835" s="1" t="s">
        <v>1332</v>
      </c>
      <c r="L2835" s="1" t="s">
        <v>901</v>
      </c>
      <c r="M2835" s="1" t="s">
        <v>3057</v>
      </c>
      <c r="N2835" s="1" t="s">
        <v>6493</v>
      </c>
      <c r="P2835" s="1" t="s">
        <v>3071</v>
      </c>
      <c r="Q2835" s="3">
        <v>0</v>
      </c>
      <c r="S2835" s="23" t="s">
        <v>5949</v>
      </c>
      <c r="T2835" s="23" t="s">
        <v>4931</v>
      </c>
      <c r="U2835" s="3">
        <v>34</v>
      </c>
      <c r="W2835" s="45" t="str">
        <f>HYPERLINK("http://ictvonline.org/taxonomy/p/taxonomy-history?taxnode_id=201850783","ICTVonline=201850783")</f>
        <v>ICTVonline=201850783</v>
      </c>
      <c r="AA2835" s="1">
        <v>201850000</v>
      </c>
      <c r="AB2835" s="1">
        <v>34</v>
      </c>
    </row>
    <row r="2836" spans="1:28" x14ac:dyDescent="0.15">
      <c r="A2836" s="1">
        <v>7230</v>
      </c>
      <c r="J2836" s="1" t="s">
        <v>1332</v>
      </c>
      <c r="L2836" s="1" t="s">
        <v>901</v>
      </c>
      <c r="M2836" s="1" t="s">
        <v>3057</v>
      </c>
      <c r="N2836" s="1" t="s">
        <v>6493</v>
      </c>
      <c r="P2836" s="1" t="s">
        <v>3072</v>
      </c>
      <c r="Q2836" s="3">
        <v>0</v>
      </c>
      <c r="S2836" s="23" t="s">
        <v>5949</v>
      </c>
      <c r="T2836" s="23" t="s">
        <v>4931</v>
      </c>
      <c r="U2836" s="3">
        <v>34</v>
      </c>
      <c r="W2836" s="45" t="str">
        <f>HYPERLINK("http://ictvonline.org/taxonomy/p/taxonomy-history?taxnode_id=201850784","ICTVonline=201850784")</f>
        <v>ICTVonline=201850784</v>
      </c>
      <c r="AA2836" s="1">
        <v>201850000</v>
      </c>
      <c r="AB2836" s="1">
        <v>34</v>
      </c>
    </row>
    <row r="2837" spans="1:28" x14ac:dyDescent="0.15">
      <c r="A2837" s="1">
        <v>7232</v>
      </c>
      <c r="J2837" s="1" t="s">
        <v>1332</v>
      </c>
      <c r="L2837" s="1" t="s">
        <v>901</v>
      </c>
      <c r="M2837" s="1" t="s">
        <v>3057</v>
      </c>
      <c r="N2837" s="1" t="s">
        <v>6493</v>
      </c>
      <c r="P2837" s="1" t="s">
        <v>6494</v>
      </c>
      <c r="Q2837" s="3">
        <v>0</v>
      </c>
      <c r="S2837" s="23" t="s">
        <v>5949</v>
      </c>
      <c r="T2837" s="23" t="s">
        <v>4929</v>
      </c>
      <c r="U2837" s="3">
        <v>34</v>
      </c>
      <c r="V2837" s="3" t="s">
        <v>6495</v>
      </c>
      <c r="W2837" s="45" t="str">
        <f>HYPERLINK("http://ictvonline.org/taxonomy/p/taxonomy-history?taxnode_id=201856957","ICTVonline=201856957")</f>
        <v>ICTVonline=201856957</v>
      </c>
      <c r="AA2837" s="1">
        <v>201850000</v>
      </c>
      <c r="AB2837" s="1">
        <v>34</v>
      </c>
    </row>
    <row r="2838" spans="1:28" x14ac:dyDescent="0.15">
      <c r="A2838" s="1">
        <v>7238</v>
      </c>
      <c r="J2838" s="1" t="s">
        <v>1332</v>
      </c>
      <c r="L2838" s="1" t="s">
        <v>901</v>
      </c>
      <c r="M2838" s="1" t="s">
        <v>5038</v>
      </c>
      <c r="N2838" s="1" t="s">
        <v>6496</v>
      </c>
      <c r="P2838" s="1" t="s">
        <v>5039</v>
      </c>
      <c r="Q2838" s="3">
        <v>1</v>
      </c>
      <c r="S2838" s="23" t="s">
        <v>5949</v>
      </c>
      <c r="T2838" s="23" t="s">
        <v>4931</v>
      </c>
      <c r="U2838" s="3">
        <v>34</v>
      </c>
      <c r="W2838" s="45" t="str">
        <f>HYPERLINK("http://ictvonline.org/taxonomy/p/taxonomy-history?taxnode_id=201855513","ICTVonline=201855513")</f>
        <v>ICTVonline=201855513</v>
      </c>
      <c r="AA2838" s="1">
        <v>201850000</v>
      </c>
      <c r="AB2838" s="1">
        <v>34</v>
      </c>
    </row>
    <row r="2839" spans="1:28" x14ac:dyDescent="0.15">
      <c r="A2839" s="1">
        <v>7240</v>
      </c>
      <c r="J2839" s="1" t="s">
        <v>1332</v>
      </c>
      <c r="L2839" s="1" t="s">
        <v>901</v>
      </c>
      <c r="M2839" s="1" t="s">
        <v>5038</v>
      </c>
      <c r="N2839" s="1" t="s">
        <v>6496</v>
      </c>
      <c r="P2839" s="1" t="s">
        <v>5040</v>
      </c>
      <c r="Q2839" s="3">
        <v>0</v>
      </c>
      <c r="S2839" s="23" t="s">
        <v>5949</v>
      </c>
      <c r="T2839" s="23" t="s">
        <v>4931</v>
      </c>
      <c r="U2839" s="3">
        <v>34</v>
      </c>
      <c r="W2839" s="45" t="str">
        <f>HYPERLINK("http://ictvonline.org/taxonomy/p/taxonomy-history?taxnode_id=201855514","ICTVonline=201855514")</f>
        <v>ICTVonline=201855514</v>
      </c>
      <c r="AA2839" s="1">
        <v>201850000</v>
      </c>
      <c r="AB2839" s="1">
        <v>34</v>
      </c>
    </row>
    <row r="2840" spans="1:28" x14ac:dyDescent="0.15">
      <c r="A2840" s="1">
        <v>7242</v>
      </c>
      <c r="J2840" s="1" t="s">
        <v>1332</v>
      </c>
      <c r="L2840" s="1" t="s">
        <v>901</v>
      </c>
      <c r="M2840" s="1" t="s">
        <v>5038</v>
      </c>
      <c r="N2840" s="1" t="s">
        <v>6496</v>
      </c>
      <c r="P2840" s="1" t="s">
        <v>5041</v>
      </c>
      <c r="Q2840" s="3">
        <v>0</v>
      </c>
      <c r="S2840" s="23" t="s">
        <v>5949</v>
      </c>
      <c r="T2840" s="23" t="s">
        <v>4931</v>
      </c>
      <c r="U2840" s="3">
        <v>34</v>
      </c>
      <c r="W2840" s="45" t="str">
        <f>HYPERLINK("http://ictvonline.org/taxonomy/p/taxonomy-history?taxnode_id=201855515","ICTVonline=201855515")</f>
        <v>ICTVonline=201855515</v>
      </c>
      <c r="AA2840" s="1">
        <v>201850000</v>
      </c>
      <c r="AB2840" s="1">
        <v>34</v>
      </c>
    </row>
    <row r="2841" spans="1:28" x14ac:dyDescent="0.15">
      <c r="A2841" s="1">
        <v>7244</v>
      </c>
      <c r="J2841" s="1" t="s">
        <v>1332</v>
      </c>
      <c r="L2841" s="1" t="s">
        <v>901</v>
      </c>
      <c r="M2841" s="1" t="s">
        <v>5038</v>
      </c>
      <c r="N2841" s="1" t="s">
        <v>6496</v>
      </c>
      <c r="P2841" s="1" t="s">
        <v>5042</v>
      </c>
      <c r="Q2841" s="3">
        <v>0</v>
      </c>
      <c r="S2841" s="23" t="s">
        <v>5949</v>
      </c>
      <c r="T2841" s="23" t="s">
        <v>4931</v>
      </c>
      <c r="U2841" s="3">
        <v>34</v>
      </c>
      <c r="W2841" s="45" t="str">
        <f>HYPERLINK("http://ictvonline.org/taxonomy/p/taxonomy-history?taxnode_id=201855516","ICTVonline=201855516")</f>
        <v>ICTVonline=201855516</v>
      </c>
      <c r="AA2841" s="1">
        <v>201850000</v>
      </c>
      <c r="AB2841" s="1">
        <v>34</v>
      </c>
    </row>
    <row r="2842" spans="1:28" x14ac:dyDescent="0.15">
      <c r="A2842" s="1">
        <v>7246</v>
      </c>
      <c r="J2842" s="1" t="s">
        <v>1332</v>
      </c>
      <c r="L2842" s="1" t="s">
        <v>901</v>
      </c>
      <c r="M2842" s="1" t="s">
        <v>5038</v>
      </c>
      <c r="N2842" s="1" t="s">
        <v>6496</v>
      </c>
      <c r="P2842" s="1" t="s">
        <v>5043</v>
      </c>
      <c r="Q2842" s="3">
        <v>0</v>
      </c>
      <c r="S2842" s="23" t="s">
        <v>5949</v>
      </c>
      <c r="T2842" s="23" t="s">
        <v>4931</v>
      </c>
      <c r="U2842" s="3">
        <v>34</v>
      </c>
      <c r="W2842" s="45" t="str">
        <f>HYPERLINK("http://ictvonline.org/taxonomy/p/taxonomy-history?taxnode_id=201855517","ICTVonline=201855517")</f>
        <v>ICTVonline=201855517</v>
      </c>
      <c r="AA2842" s="1">
        <v>201850000</v>
      </c>
      <c r="AB2842" s="1">
        <v>34</v>
      </c>
    </row>
    <row r="2843" spans="1:28" x14ac:dyDescent="0.15">
      <c r="A2843" s="1">
        <v>7248</v>
      </c>
      <c r="J2843" s="1" t="s">
        <v>1332</v>
      </c>
      <c r="L2843" s="1" t="s">
        <v>901</v>
      </c>
      <c r="M2843" s="1" t="s">
        <v>5038</v>
      </c>
      <c r="N2843" s="1" t="s">
        <v>6496</v>
      </c>
      <c r="P2843" s="1" t="s">
        <v>5044</v>
      </c>
      <c r="Q2843" s="3">
        <v>0</v>
      </c>
      <c r="S2843" s="23" t="s">
        <v>5949</v>
      </c>
      <c r="T2843" s="23" t="s">
        <v>4931</v>
      </c>
      <c r="U2843" s="3">
        <v>34</v>
      </c>
      <c r="W2843" s="45" t="str">
        <f>HYPERLINK("http://ictvonline.org/taxonomy/p/taxonomy-history?taxnode_id=201855518","ICTVonline=201855518")</f>
        <v>ICTVonline=201855518</v>
      </c>
      <c r="AA2843" s="1">
        <v>201850000</v>
      </c>
      <c r="AB2843" s="1">
        <v>34</v>
      </c>
    </row>
    <row r="2844" spans="1:28" x14ac:dyDescent="0.15">
      <c r="A2844" s="1">
        <v>7252</v>
      </c>
      <c r="J2844" s="1" t="s">
        <v>1332</v>
      </c>
      <c r="L2844" s="1" t="s">
        <v>901</v>
      </c>
      <c r="M2844" s="1" t="s">
        <v>5038</v>
      </c>
      <c r="N2844" s="1" t="s">
        <v>6497</v>
      </c>
      <c r="P2844" s="1" t="s">
        <v>5045</v>
      </c>
      <c r="Q2844" s="3">
        <v>1</v>
      </c>
      <c r="S2844" s="23" t="s">
        <v>5949</v>
      </c>
      <c r="T2844" s="23" t="s">
        <v>4931</v>
      </c>
      <c r="U2844" s="3">
        <v>34</v>
      </c>
      <c r="W2844" s="45" t="str">
        <f>HYPERLINK("http://ictvonline.org/taxonomy/p/taxonomy-history?taxnode_id=201855520","ICTVonline=201855520")</f>
        <v>ICTVonline=201855520</v>
      </c>
      <c r="AA2844" s="1">
        <v>201850000</v>
      </c>
      <c r="AB2844" s="1">
        <v>34</v>
      </c>
    </row>
    <row r="2845" spans="1:28" x14ac:dyDescent="0.15">
      <c r="A2845" s="1">
        <v>7254</v>
      </c>
      <c r="J2845" s="1" t="s">
        <v>1332</v>
      </c>
      <c r="L2845" s="1" t="s">
        <v>901</v>
      </c>
      <c r="M2845" s="1" t="s">
        <v>5038</v>
      </c>
      <c r="N2845" s="1" t="s">
        <v>6497</v>
      </c>
      <c r="P2845" s="1" t="s">
        <v>5046</v>
      </c>
      <c r="Q2845" s="3">
        <v>0</v>
      </c>
      <c r="S2845" s="23" t="s">
        <v>5949</v>
      </c>
      <c r="T2845" s="23" t="s">
        <v>4931</v>
      </c>
      <c r="U2845" s="3">
        <v>34</v>
      </c>
      <c r="W2845" s="45" t="str">
        <f>HYPERLINK("http://ictvonline.org/taxonomy/p/taxonomy-history?taxnode_id=201855523","ICTVonline=201855523")</f>
        <v>ICTVonline=201855523</v>
      </c>
      <c r="AA2845" s="1">
        <v>201850000</v>
      </c>
      <c r="AB2845" s="1">
        <v>34</v>
      </c>
    </row>
    <row r="2846" spans="1:28" x14ac:dyDescent="0.15">
      <c r="A2846" s="1">
        <v>7256</v>
      </c>
      <c r="J2846" s="1" t="s">
        <v>1332</v>
      </c>
      <c r="L2846" s="1" t="s">
        <v>901</v>
      </c>
      <c r="M2846" s="1" t="s">
        <v>5038</v>
      </c>
      <c r="N2846" s="1" t="s">
        <v>6497</v>
      </c>
      <c r="P2846" s="1" t="s">
        <v>5047</v>
      </c>
      <c r="Q2846" s="3">
        <v>0</v>
      </c>
      <c r="S2846" s="23" t="s">
        <v>5949</v>
      </c>
      <c r="T2846" s="23" t="s">
        <v>4931</v>
      </c>
      <c r="U2846" s="3">
        <v>34</v>
      </c>
      <c r="W2846" s="45" t="str">
        <f>HYPERLINK("http://ictvonline.org/taxonomy/p/taxonomy-history?taxnode_id=201855524","ICTVonline=201855524")</f>
        <v>ICTVonline=201855524</v>
      </c>
      <c r="AA2846" s="1">
        <v>201850000</v>
      </c>
      <c r="AB2846" s="1">
        <v>34</v>
      </c>
    </row>
    <row r="2847" spans="1:28" x14ac:dyDescent="0.15">
      <c r="A2847" s="1">
        <v>7258</v>
      </c>
      <c r="J2847" s="1" t="s">
        <v>1332</v>
      </c>
      <c r="L2847" s="1" t="s">
        <v>901</v>
      </c>
      <c r="M2847" s="1" t="s">
        <v>5038</v>
      </c>
      <c r="N2847" s="1" t="s">
        <v>6497</v>
      </c>
      <c r="P2847" s="1" t="s">
        <v>5048</v>
      </c>
      <c r="Q2847" s="3">
        <v>0</v>
      </c>
      <c r="S2847" s="23" t="s">
        <v>5949</v>
      </c>
      <c r="T2847" s="23" t="s">
        <v>4931</v>
      </c>
      <c r="U2847" s="3">
        <v>34</v>
      </c>
      <c r="W2847" s="45" t="str">
        <f>HYPERLINK("http://ictvonline.org/taxonomy/p/taxonomy-history?taxnode_id=201855521","ICTVonline=201855521")</f>
        <v>ICTVonline=201855521</v>
      </c>
      <c r="AA2847" s="1">
        <v>201850000</v>
      </c>
      <c r="AB2847" s="1">
        <v>34</v>
      </c>
    </row>
    <row r="2848" spans="1:28" x14ac:dyDescent="0.15">
      <c r="A2848" s="1">
        <v>7260</v>
      </c>
      <c r="J2848" s="1" t="s">
        <v>1332</v>
      </c>
      <c r="L2848" s="1" t="s">
        <v>901</v>
      </c>
      <c r="M2848" s="1" t="s">
        <v>5038</v>
      </c>
      <c r="N2848" s="1" t="s">
        <v>6497</v>
      </c>
      <c r="P2848" s="1" t="s">
        <v>5049</v>
      </c>
      <c r="Q2848" s="3">
        <v>0</v>
      </c>
      <c r="S2848" s="23" t="s">
        <v>5949</v>
      </c>
      <c r="T2848" s="23" t="s">
        <v>4931</v>
      </c>
      <c r="U2848" s="3">
        <v>34</v>
      </c>
      <c r="W2848" s="45" t="str">
        <f>HYPERLINK("http://ictvonline.org/taxonomy/p/taxonomy-history?taxnode_id=201855522","ICTVonline=201855522")</f>
        <v>ICTVonline=201855522</v>
      </c>
      <c r="AA2848" s="1">
        <v>201850000</v>
      </c>
      <c r="AB2848" s="1">
        <v>34</v>
      </c>
    </row>
    <row r="2849" spans="1:28" x14ac:dyDescent="0.15">
      <c r="A2849" s="1">
        <v>7262</v>
      </c>
      <c r="J2849" s="1" t="s">
        <v>1332</v>
      </c>
      <c r="L2849" s="1" t="s">
        <v>901</v>
      </c>
      <c r="M2849" s="1" t="s">
        <v>5038</v>
      </c>
      <c r="N2849" s="1" t="s">
        <v>6497</v>
      </c>
      <c r="P2849" s="1" t="s">
        <v>5050</v>
      </c>
      <c r="Q2849" s="3">
        <v>0</v>
      </c>
      <c r="S2849" s="23" t="s">
        <v>5949</v>
      </c>
      <c r="T2849" s="23" t="s">
        <v>4931</v>
      </c>
      <c r="U2849" s="3">
        <v>34</v>
      </c>
      <c r="W2849" s="45" t="str">
        <f>HYPERLINK("http://ictvonline.org/taxonomy/p/taxonomy-history?taxnode_id=201855525","ICTVonline=201855525")</f>
        <v>ICTVonline=201855525</v>
      </c>
      <c r="AA2849" s="1">
        <v>201850000</v>
      </c>
      <c r="AB2849" s="1">
        <v>34</v>
      </c>
    </row>
    <row r="2850" spans="1:28" x14ac:dyDescent="0.15">
      <c r="A2850" s="1">
        <v>7268</v>
      </c>
      <c r="J2850" s="1" t="s">
        <v>1332</v>
      </c>
      <c r="L2850" s="1" t="s">
        <v>901</v>
      </c>
      <c r="M2850" s="1" t="s">
        <v>4124</v>
      </c>
      <c r="N2850" s="1" t="s">
        <v>4125</v>
      </c>
      <c r="P2850" s="1" t="s">
        <v>3361</v>
      </c>
      <c r="Q2850" s="3">
        <v>1</v>
      </c>
      <c r="S2850" s="23" t="s">
        <v>5949</v>
      </c>
      <c r="W2850" s="45" t="str">
        <f>HYPERLINK("http://ictvonline.org/taxonomy/p/taxonomy-history?taxnode_id=201850789","ICTVonline=201850789")</f>
        <v>ICTVonline=201850789</v>
      </c>
      <c r="AA2850" s="1">
        <v>201850000</v>
      </c>
      <c r="AB2850" s="1">
        <v>34</v>
      </c>
    </row>
    <row r="2851" spans="1:28" x14ac:dyDescent="0.15">
      <c r="A2851" s="1">
        <v>7272</v>
      </c>
      <c r="J2851" s="1" t="s">
        <v>1332</v>
      </c>
      <c r="L2851" s="1" t="s">
        <v>901</v>
      </c>
      <c r="M2851" s="1" t="s">
        <v>4124</v>
      </c>
      <c r="N2851" s="1" t="s">
        <v>3360</v>
      </c>
      <c r="P2851" s="1" t="s">
        <v>3362</v>
      </c>
      <c r="Q2851" s="3">
        <v>1</v>
      </c>
      <c r="S2851" s="23" t="s">
        <v>5949</v>
      </c>
      <c r="W2851" s="45" t="str">
        <f>HYPERLINK("http://ictvonline.org/taxonomy/p/taxonomy-history?taxnode_id=201850791","ICTVonline=201850791")</f>
        <v>ICTVonline=201850791</v>
      </c>
      <c r="AA2851" s="1">
        <v>201850000</v>
      </c>
      <c r="AB2851" s="1">
        <v>34</v>
      </c>
    </row>
    <row r="2852" spans="1:28" x14ac:dyDescent="0.15">
      <c r="A2852" s="1">
        <v>7278</v>
      </c>
      <c r="J2852" s="1" t="s">
        <v>1332</v>
      </c>
      <c r="L2852" s="1" t="s">
        <v>901</v>
      </c>
      <c r="M2852" s="1" t="s">
        <v>5051</v>
      </c>
      <c r="N2852" s="1" t="s">
        <v>5052</v>
      </c>
      <c r="P2852" s="1" t="s">
        <v>5053</v>
      </c>
      <c r="Q2852" s="3">
        <v>1</v>
      </c>
      <c r="S2852" s="23" t="s">
        <v>5949</v>
      </c>
      <c r="W2852" s="45" t="str">
        <f>HYPERLINK("http://ictvonline.org/taxonomy/p/taxonomy-history?taxnode_id=201855528","ICTVonline=201855528")</f>
        <v>ICTVonline=201855528</v>
      </c>
      <c r="AA2852" s="1">
        <v>201850000</v>
      </c>
      <c r="AB2852" s="1">
        <v>34</v>
      </c>
    </row>
    <row r="2853" spans="1:28" x14ac:dyDescent="0.15">
      <c r="A2853" s="1">
        <v>7280</v>
      </c>
      <c r="J2853" s="1" t="s">
        <v>1332</v>
      </c>
      <c r="L2853" s="1" t="s">
        <v>901</v>
      </c>
      <c r="M2853" s="1" t="s">
        <v>5051</v>
      </c>
      <c r="N2853" s="1" t="s">
        <v>5052</v>
      </c>
      <c r="P2853" s="1" t="s">
        <v>5054</v>
      </c>
      <c r="Q2853" s="3">
        <v>0</v>
      </c>
      <c r="S2853" s="23" t="s">
        <v>5949</v>
      </c>
      <c r="W2853" s="45" t="str">
        <f>HYPERLINK("http://ictvonline.org/taxonomy/p/taxonomy-history?taxnode_id=201855529","ICTVonline=201855529")</f>
        <v>ICTVonline=201855529</v>
      </c>
      <c r="AA2853" s="1">
        <v>201850000</v>
      </c>
      <c r="AB2853" s="1">
        <v>34</v>
      </c>
    </row>
    <row r="2854" spans="1:28" x14ac:dyDescent="0.15">
      <c r="A2854" s="1">
        <v>7284</v>
      </c>
      <c r="J2854" s="1" t="s">
        <v>1332</v>
      </c>
      <c r="L2854" s="1" t="s">
        <v>901</v>
      </c>
      <c r="M2854" s="1" t="s">
        <v>5051</v>
      </c>
      <c r="N2854" s="1" t="s">
        <v>3136</v>
      </c>
      <c r="P2854" s="1" t="s">
        <v>3137</v>
      </c>
      <c r="Q2854" s="3">
        <v>1</v>
      </c>
      <c r="S2854" s="23" t="s">
        <v>5949</v>
      </c>
      <c r="W2854" s="45" t="str">
        <f>HYPERLINK("http://ictvonline.org/taxonomy/p/taxonomy-history?taxnode_id=201850888","ICTVonline=201850888")</f>
        <v>ICTVonline=201850888</v>
      </c>
      <c r="AA2854" s="1">
        <v>201850000</v>
      </c>
      <c r="AB2854" s="1">
        <v>34</v>
      </c>
    </row>
    <row r="2855" spans="1:28" x14ac:dyDescent="0.15">
      <c r="A2855" s="1">
        <v>7286</v>
      </c>
      <c r="J2855" s="1" t="s">
        <v>1332</v>
      </c>
      <c r="L2855" s="1" t="s">
        <v>901</v>
      </c>
      <c r="M2855" s="1" t="s">
        <v>5051</v>
      </c>
      <c r="N2855" s="1" t="s">
        <v>3136</v>
      </c>
      <c r="P2855" s="1" t="s">
        <v>5055</v>
      </c>
      <c r="Q2855" s="3">
        <v>0</v>
      </c>
      <c r="S2855" s="23" t="s">
        <v>5949</v>
      </c>
      <c r="W2855" s="45" t="str">
        <f>HYPERLINK("http://ictvonline.org/taxonomy/p/taxonomy-history?taxnode_id=201855531","ICTVonline=201855531")</f>
        <v>ICTVonline=201855531</v>
      </c>
      <c r="AA2855" s="1">
        <v>201850000</v>
      </c>
      <c r="AB2855" s="1">
        <v>34</v>
      </c>
    </row>
    <row r="2856" spans="1:28" x14ac:dyDescent="0.15">
      <c r="A2856" s="1">
        <v>7288</v>
      </c>
      <c r="J2856" s="1" t="s">
        <v>1332</v>
      </c>
      <c r="L2856" s="1" t="s">
        <v>901</v>
      </c>
      <c r="M2856" s="1" t="s">
        <v>5051</v>
      </c>
      <c r="N2856" s="1" t="s">
        <v>3136</v>
      </c>
      <c r="P2856" s="1" t="s">
        <v>5056</v>
      </c>
      <c r="Q2856" s="3">
        <v>0</v>
      </c>
      <c r="S2856" s="23" t="s">
        <v>5949</v>
      </c>
      <c r="W2856" s="45" t="str">
        <f>HYPERLINK("http://ictvonline.org/taxonomy/p/taxonomy-history?taxnode_id=201855532","ICTVonline=201855532")</f>
        <v>ICTVonline=201855532</v>
      </c>
      <c r="AA2856" s="1">
        <v>201850000</v>
      </c>
      <c r="AB2856" s="1">
        <v>34</v>
      </c>
    </row>
    <row r="2857" spans="1:28" x14ac:dyDescent="0.15">
      <c r="A2857" s="1">
        <v>7292</v>
      </c>
      <c r="J2857" s="1" t="s">
        <v>1332</v>
      </c>
      <c r="L2857" s="1" t="s">
        <v>901</v>
      </c>
      <c r="M2857" s="1" t="s">
        <v>5051</v>
      </c>
      <c r="N2857" s="1" t="s">
        <v>5057</v>
      </c>
      <c r="P2857" s="1" t="s">
        <v>5058</v>
      </c>
      <c r="Q2857" s="3">
        <v>0</v>
      </c>
      <c r="S2857" s="23" t="s">
        <v>5949</v>
      </c>
      <c r="W2857" s="45" t="str">
        <f>HYPERLINK("http://ictvonline.org/taxonomy/p/taxonomy-history?taxnode_id=201855533","ICTVonline=201855533")</f>
        <v>ICTVonline=201855533</v>
      </c>
      <c r="AA2857" s="1">
        <v>201850000</v>
      </c>
      <c r="AB2857" s="1">
        <v>34</v>
      </c>
    </row>
    <row r="2858" spans="1:28" x14ac:dyDescent="0.15">
      <c r="A2858" s="1">
        <v>7294</v>
      </c>
      <c r="J2858" s="1" t="s">
        <v>1332</v>
      </c>
      <c r="L2858" s="1" t="s">
        <v>901</v>
      </c>
      <c r="M2858" s="1" t="s">
        <v>5051</v>
      </c>
      <c r="N2858" s="1" t="s">
        <v>5057</v>
      </c>
      <c r="P2858" s="1" t="s">
        <v>5059</v>
      </c>
      <c r="Q2858" s="3">
        <v>0</v>
      </c>
      <c r="S2858" s="23" t="s">
        <v>5949</v>
      </c>
      <c r="W2858" s="45" t="str">
        <f>HYPERLINK("http://ictvonline.org/taxonomy/p/taxonomy-history?taxnode_id=201855534","ICTVonline=201855534")</f>
        <v>ICTVonline=201855534</v>
      </c>
      <c r="AA2858" s="1">
        <v>201850000</v>
      </c>
      <c r="AB2858" s="1">
        <v>34</v>
      </c>
    </row>
    <row r="2859" spans="1:28" x14ac:dyDescent="0.15">
      <c r="A2859" s="1">
        <v>7296</v>
      </c>
      <c r="J2859" s="1" t="s">
        <v>1332</v>
      </c>
      <c r="L2859" s="1" t="s">
        <v>901</v>
      </c>
      <c r="M2859" s="1" t="s">
        <v>5051</v>
      </c>
      <c r="N2859" s="1" t="s">
        <v>5057</v>
      </c>
      <c r="P2859" s="1" t="s">
        <v>3138</v>
      </c>
      <c r="Q2859" s="3">
        <v>1</v>
      </c>
      <c r="S2859" s="23" t="s">
        <v>5949</v>
      </c>
      <c r="W2859" s="45" t="str">
        <f>HYPERLINK("http://ictvonline.org/taxonomy/p/taxonomy-history?taxnode_id=201850889","ICTVonline=201850889")</f>
        <v>ICTVonline=201850889</v>
      </c>
      <c r="AA2859" s="1">
        <v>201850000</v>
      </c>
      <c r="AB2859" s="1">
        <v>34</v>
      </c>
    </row>
    <row r="2860" spans="1:28" x14ac:dyDescent="0.15">
      <c r="A2860" s="1">
        <v>7298</v>
      </c>
      <c r="J2860" s="1" t="s">
        <v>1332</v>
      </c>
      <c r="L2860" s="1" t="s">
        <v>901</v>
      </c>
      <c r="M2860" s="1" t="s">
        <v>5051</v>
      </c>
      <c r="N2860" s="1" t="s">
        <v>5057</v>
      </c>
      <c r="P2860" s="1" t="s">
        <v>5060</v>
      </c>
      <c r="Q2860" s="3">
        <v>0</v>
      </c>
      <c r="S2860" s="23" t="s">
        <v>5949</v>
      </c>
      <c r="W2860" s="45" t="str">
        <f>HYPERLINK("http://ictvonline.org/taxonomy/p/taxonomy-history?taxnode_id=201855535","ICTVonline=201855535")</f>
        <v>ICTVonline=201855535</v>
      </c>
      <c r="AA2860" s="1">
        <v>201850000</v>
      </c>
      <c r="AB2860" s="1">
        <v>34</v>
      </c>
    </row>
    <row r="2861" spans="1:28" x14ac:dyDescent="0.15">
      <c r="A2861" s="1">
        <v>7304</v>
      </c>
      <c r="J2861" s="1" t="s">
        <v>1332</v>
      </c>
      <c r="L2861" s="1" t="s">
        <v>901</v>
      </c>
      <c r="M2861" s="1" t="s">
        <v>5061</v>
      </c>
      <c r="N2861" s="1" t="s">
        <v>5062</v>
      </c>
      <c r="P2861" s="1" t="s">
        <v>5063</v>
      </c>
      <c r="Q2861" s="3">
        <v>1</v>
      </c>
      <c r="S2861" s="23" t="s">
        <v>5949</v>
      </c>
      <c r="W2861" s="45" t="str">
        <f>HYPERLINK("http://ictvonline.org/taxonomy/p/taxonomy-history?taxnode_id=201855498","ICTVonline=201855498")</f>
        <v>ICTVonline=201855498</v>
      </c>
      <c r="AA2861" s="1">
        <v>201850000</v>
      </c>
      <c r="AB2861" s="1">
        <v>34</v>
      </c>
    </row>
    <row r="2862" spans="1:28" x14ac:dyDescent="0.15">
      <c r="A2862" s="1">
        <v>7306</v>
      </c>
      <c r="J2862" s="1" t="s">
        <v>1332</v>
      </c>
      <c r="L2862" s="1" t="s">
        <v>901</v>
      </c>
      <c r="M2862" s="1" t="s">
        <v>5061</v>
      </c>
      <c r="N2862" s="1" t="s">
        <v>5062</v>
      </c>
      <c r="P2862" s="1" t="s">
        <v>5064</v>
      </c>
      <c r="Q2862" s="3">
        <v>0</v>
      </c>
      <c r="S2862" s="23" t="s">
        <v>5949</v>
      </c>
      <c r="W2862" s="45" t="str">
        <f>HYPERLINK("http://ictvonline.org/taxonomy/p/taxonomy-history?taxnode_id=201855499","ICTVonline=201855499")</f>
        <v>ICTVonline=201855499</v>
      </c>
      <c r="AA2862" s="1">
        <v>201850000</v>
      </c>
      <c r="AB2862" s="1">
        <v>34</v>
      </c>
    </row>
    <row r="2863" spans="1:28" x14ac:dyDescent="0.15">
      <c r="A2863" s="1">
        <v>7310</v>
      </c>
      <c r="J2863" s="1" t="s">
        <v>1332</v>
      </c>
      <c r="L2863" s="1" t="s">
        <v>901</v>
      </c>
      <c r="M2863" s="1" t="s">
        <v>5061</v>
      </c>
      <c r="N2863" s="1" t="s">
        <v>5065</v>
      </c>
      <c r="P2863" s="1" t="s">
        <v>5066</v>
      </c>
      <c r="Q2863" s="3">
        <v>0</v>
      </c>
      <c r="S2863" s="23" t="s">
        <v>5949</v>
      </c>
      <c r="W2863" s="45" t="str">
        <f>HYPERLINK("http://ictvonline.org/taxonomy/p/taxonomy-history?taxnode_id=201855501","ICTVonline=201855501")</f>
        <v>ICTVonline=201855501</v>
      </c>
      <c r="AA2863" s="1">
        <v>201850000</v>
      </c>
      <c r="AB2863" s="1">
        <v>34</v>
      </c>
    </row>
    <row r="2864" spans="1:28" x14ac:dyDescent="0.15">
      <c r="A2864" s="1">
        <v>7312</v>
      </c>
      <c r="J2864" s="1" t="s">
        <v>1332</v>
      </c>
      <c r="L2864" s="1" t="s">
        <v>901</v>
      </c>
      <c r="M2864" s="1" t="s">
        <v>5061</v>
      </c>
      <c r="N2864" s="1" t="s">
        <v>5065</v>
      </c>
      <c r="P2864" s="1" t="s">
        <v>6498</v>
      </c>
      <c r="Q2864" s="3">
        <v>1</v>
      </c>
      <c r="S2864" s="23" t="s">
        <v>5949</v>
      </c>
      <c r="T2864" s="23" t="s">
        <v>6499</v>
      </c>
      <c r="U2864" s="3">
        <v>34</v>
      </c>
      <c r="V2864" s="3" t="s">
        <v>6500</v>
      </c>
      <c r="W2864" s="45" t="str">
        <f>HYPERLINK("http://ictvonline.org/taxonomy/p/taxonomy-history?taxnode_id=201855503","ICTVonline=201855503")</f>
        <v>ICTVonline=201855503</v>
      </c>
      <c r="AA2864" s="1">
        <v>201850000</v>
      </c>
      <c r="AB2864" s="1">
        <v>34</v>
      </c>
    </row>
    <row r="2865" spans="1:28" x14ac:dyDescent="0.15">
      <c r="A2865" s="1">
        <v>7314</v>
      </c>
      <c r="J2865" s="1" t="s">
        <v>1332</v>
      </c>
      <c r="L2865" s="1" t="s">
        <v>901</v>
      </c>
      <c r="M2865" s="1" t="s">
        <v>5061</v>
      </c>
      <c r="N2865" s="1" t="s">
        <v>5065</v>
      </c>
      <c r="P2865" s="1" t="s">
        <v>5067</v>
      </c>
      <c r="Q2865" s="3">
        <v>0</v>
      </c>
      <c r="S2865" s="23" t="s">
        <v>5949</v>
      </c>
      <c r="W2865" s="45" t="str">
        <f>HYPERLINK("http://ictvonline.org/taxonomy/p/taxonomy-history?taxnode_id=201855502","ICTVonline=201855502")</f>
        <v>ICTVonline=201855502</v>
      </c>
      <c r="AA2865" s="1">
        <v>201850000</v>
      </c>
      <c r="AB2865" s="1">
        <v>34</v>
      </c>
    </row>
    <row r="2866" spans="1:28" x14ac:dyDescent="0.15">
      <c r="A2866" s="1">
        <v>7320</v>
      </c>
      <c r="J2866" s="1" t="s">
        <v>1332</v>
      </c>
      <c r="L2866" s="1" t="s">
        <v>901</v>
      </c>
      <c r="M2866" s="1" t="s">
        <v>4126</v>
      </c>
      <c r="N2866" s="1" t="s">
        <v>3112</v>
      </c>
      <c r="P2866" s="1" t="s">
        <v>3113</v>
      </c>
      <c r="Q2866" s="3">
        <v>1</v>
      </c>
      <c r="S2866" s="23" t="s">
        <v>5949</v>
      </c>
      <c r="W2866" s="45" t="str">
        <f>HYPERLINK("http://ictvonline.org/taxonomy/p/taxonomy-history?taxnode_id=201850794","ICTVonline=201850794")</f>
        <v>ICTVonline=201850794</v>
      </c>
      <c r="AA2866" s="1">
        <v>201850000</v>
      </c>
      <c r="AB2866" s="1">
        <v>34</v>
      </c>
    </row>
    <row r="2867" spans="1:28" x14ac:dyDescent="0.15">
      <c r="A2867" s="1">
        <v>7324</v>
      </c>
      <c r="J2867" s="1" t="s">
        <v>1332</v>
      </c>
      <c r="L2867" s="1" t="s">
        <v>901</v>
      </c>
      <c r="M2867" s="1" t="s">
        <v>4126</v>
      </c>
      <c r="N2867" s="1" t="s">
        <v>4127</v>
      </c>
      <c r="P2867" s="1" t="s">
        <v>4341</v>
      </c>
      <c r="Q2867" s="3">
        <v>0</v>
      </c>
      <c r="S2867" s="23" t="s">
        <v>5949</v>
      </c>
      <c r="W2867" s="45" t="str">
        <f>HYPERLINK("http://ictvonline.org/taxonomy/p/taxonomy-history?taxnode_id=201850796","ICTVonline=201850796")</f>
        <v>ICTVonline=201850796</v>
      </c>
      <c r="AA2867" s="1">
        <v>201850000</v>
      </c>
      <c r="AB2867" s="1">
        <v>34</v>
      </c>
    </row>
    <row r="2868" spans="1:28" x14ac:dyDescent="0.15">
      <c r="A2868" s="1">
        <v>7326</v>
      </c>
      <c r="J2868" s="1" t="s">
        <v>1332</v>
      </c>
      <c r="L2868" s="1" t="s">
        <v>901</v>
      </c>
      <c r="M2868" s="1" t="s">
        <v>4126</v>
      </c>
      <c r="N2868" s="1" t="s">
        <v>4127</v>
      </c>
      <c r="P2868" s="1" t="s">
        <v>4342</v>
      </c>
      <c r="Q2868" s="3">
        <v>0</v>
      </c>
      <c r="S2868" s="23" t="s">
        <v>5949</v>
      </c>
      <c r="W2868" s="45" t="str">
        <f>HYPERLINK("http://ictvonline.org/taxonomy/p/taxonomy-history?taxnode_id=201850797","ICTVonline=201850797")</f>
        <v>ICTVonline=201850797</v>
      </c>
      <c r="AA2868" s="1">
        <v>201850000</v>
      </c>
      <c r="AB2868" s="1">
        <v>34</v>
      </c>
    </row>
    <row r="2869" spans="1:28" x14ac:dyDescent="0.15">
      <c r="A2869" s="1">
        <v>7328</v>
      </c>
      <c r="J2869" s="1" t="s">
        <v>1332</v>
      </c>
      <c r="L2869" s="1" t="s">
        <v>901</v>
      </c>
      <c r="M2869" s="1" t="s">
        <v>4126</v>
      </c>
      <c r="N2869" s="1" t="s">
        <v>4127</v>
      </c>
      <c r="P2869" s="1" t="s">
        <v>4343</v>
      </c>
      <c r="Q2869" s="3">
        <v>1</v>
      </c>
      <c r="S2869" s="23" t="s">
        <v>5949</v>
      </c>
      <c r="W2869" s="45" t="str">
        <f>HYPERLINK("http://ictvonline.org/taxonomy/p/taxonomy-history?taxnode_id=201850798","ICTVonline=201850798")</f>
        <v>ICTVonline=201850798</v>
      </c>
      <c r="AA2869" s="1">
        <v>201850000</v>
      </c>
      <c r="AB2869" s="1">
        <v>34</v>
      </c>
    </row>
    <row r="2870" spans="1:28" x14ac:dyDescent="0.15">
      <c r="A2870" s="1">
        <v>7330</v>
      </c>
      <c r="J2870" s="1" t="s">
        <v>1332</v>
      </c>
      <c r="L2870" s="1" t="s">
        <v>901</v>
      </c>
      <c r="M2870" s="1" t="s">
        <v>4126</v>
      </c>
      <c r="N2870" s="1" t="s">
        <v>4127</v>
      </c>
      <c r="P2870" s="1" t="s">
        <v>3114</v>
      </c>
      <c r="Q2870" s="3">
        <v>0</v>
      </c>
      <c r="S2870" s="23" t="s">
        <v>5949</v>
      </c>
      <c r="W2870" s="45" t="str">
        <f>HYPERLINK("http://ictvonline.org/taxonomy/p/taxonomy-history?taxnode_id=201850799","ICTVonline=201850799")</f>
        <v>ICTVonline=201850799</v>
      </c>
      <c r="AA2870" s="1">
        <v>201850000</v>
      </c>
      <c r="AB2870" s="1">
        <v>34</v>
      </c>
    </row>
    <row r="2871" spans="1:28" x14ac:dyDescent="0.15">
      <c r="A2871" s="1">
        <v>7332</v>
      </c>
      <c r="J2871" s="1" t="s">
        <v>1332</v>
      </c>
      <c r="L2871" s="1" t="s">
        <v>901</v>
      </c>
      <c r="M2871" s="1" t="s">
        <v>4126</v>
      </c>
      <c r="N2871" s="1" t="s">
        <v>4127</v>
      </c>
      <c r="P2871" s="1" t="s">
        <v>4344</v>
      </c>
      <c r="Q2871" s="3">
        <v>0</v>
      </c>
      <c r="S2871" s="23" t="s">
        <v>5949</v>
      </c>
      <c r="W2871" s="45" t="str">
        <f>HYPERLINK("http://ictvonline.org/taxonomy/p/taxonomy-history?taxnode_id=201850800","ICTVonline=201850800")</f>
        <v>ICTVonline=201850800</v>
      </c>
      <c r="AA2871" s="1">
        <v>201850000</v>
      </c>
      <c r="AB2871" s="1">
        <v>34</v>
      </c>
    </row>
    <row r="2872" spans="1:28" x14ac:dyDescent="0.15">
      <c r="A2872" s="1">
        <v>7336</v>
      </c>
      <c r="J2872" s="1" t="s">
        <v>1332</v>
      </c>
      <c r="L2872" s="1" t="s">
        <v>901</v>
      </c>
      <c r="M2872" s="1" t="s">
        <v>4126</v>
      </c>
      <c r="N2872" s="1" t="s">
        <v>4345</v>
      </c>
      <c r="P2872" s="1" t="s">
        <v>4346</v>
      </c>
      <c r="Q2872" s="3">
        <v>1</v>
      </c>
      <c r="S2872" s="23" t="s">
        <v>5949</v>
      </c>
      <c r="W2872" s="45" t="str">
        <f>HYPERLINK("http://ictvonline.org/taxonomy/p/taxonomy-history?taxnode_id=201850802","ICTVonline=201850802")</f>
        <v>ICTVonline=201850802</v>
      </c>
      <c r="AA2872" s="1">
        <v>201850000</v>
      </c>
      <c r="AB2872" s="1">
        <v>34</v>
      </c>
    </row>
    <row r="2873" spans="1:28" x14ac:dyDescent="0.15">
      <c r="A2873" s="1">
        <v>7342</v>
      </c>
      <c r="J2873" s="1" t="s">
        <v>1332</v>
      </c>
      <c r="L2873" s="1" t="s">
        <v>901</v>
      </c>
      <c r="M2873" s="1" t="s">
        <v>3074</v>
      </c>
      <c r="N2873" s="1" t="s">
        <v>6501</v>
      </c>
      <c r="P2873" s="1" t="s">
        <v>6502</v>
      </c>
      <c r="Q2873" s="3">
        <v>1</v>
      </c>
      <c r="S2873" s="23" t="s">
        <v>5949</v>
      </c>
      <c r="T2873" s="23" t="s">
        <v>4929</v>
      </c>
      <c r="U2873" s="3">
        <v>34</v>
      </c>
      <c r="V2873" s="3" t="s">
        <v>6503</v>
      </c>
      <c r="W2873" s="45" t="str">
        <f>HYPERLINK("http://ictvonline.org/taxonomy/p/taxonomy-history?taxnode_id=201857067","ICTVonline=201857067")</f>
        <v>ICTVonline=201857067</v>
      </c>
      <c r="AA2873" s="1">
        <v>201850000</v>
      </c>
      <c r="AB2873" s="1">
        <v>34</v>
      </c>
    </row>
    <row r="2874" spans="1:28" x14ac:dyDescent="0.15">
      <c r="A2874" s="1">
        <v>7346</v>
      </c>
      <c r="J2874" s="1" t="s">
        <v>1332</v>
      </c>
      <c r="L2874" s="1" t="s">
        <v>901</v>
      </c>
      <c r="M2874" s="1" t="s">
        <v>3074</v>
      </c>
      <c r="N2874" s="1" t="s">
        <v>6504</v>
      </c>
      <c r="P2874" s="1" t="s">
        <v>6505</v>
      </c>
      <c r="Q2874" s="3">
        <v>1</v>
      </c>
      <c r="S2874" s="23" t="s">
        <v>5949</v>
      </c>
      <c r="T2874" s="23" t="s">
        <v>4929</v>
      </c>
      <c r="U2874" s="3">
        <v>34</v>
      </c>
      <c r="V2874" s="3" t="s">
        <v>6503</v>
      </c>
      <c r="W2874" s="45" t="str">
        <f>HYPERLINK("http://ictvonline.org/taxonomy/p/taxonomy-history?taxnode_id=201857069","ICTVonline=201857069")</f>
        <v>ICTVonline=201857069</v>
      </c>
      <c r="AA2874" s="1">
        <v>201850000</v>
      </c>
      <c r="AB2874" s="1">
        <v>34</v>
      </c>
    </row>
    <row r="2875" spans="1:28" x14ac:dyDescent="0.15">
      <c r="A2875" s="1">
        <v>7350</v>
      </c>
      <c r="J2875" s="1" t="s">
        <v>1332</v>
      </c>
      <c r="L2875" s="1" t="s">
        <v>901</v>
      </c>
      <c r="M2875" s="1" t="s">
        <v>3074</v>
      </c>
      <c r="N2875" s="1" t="s">
        <v>6506</v>
      </c>
      <c r="P2875" s="1" t="s">
        <v>3078</v>
      </c>
      <c r="Q2875" s="3">
        <v>0</v>
      </c>
      <c r="S2875" s="23" t="s">
        <v>5949</v>
      </c>
      <c r="T2875" s="23" t="s">
        <v>4931</v>
      </c>
      <c r="U2875" s="3">
        <v>34</v>
      </c>
      <c r="W2875" s="45" t="str">
        <f>HYPERLINK("http://ictvonline.org/taxonomy/p/taxonomy-history?taxnode_id=201850812","ICTVonline=201850812")</f>
        <v>ICTVonline=201850812</v>
      </c>
      <c r="AA2875" s="1">
        <v>201850000</v>
      </c>
      <c r="AB2875" s="1">
        <v>34</v>
      </c>
    </row>
    <row r="2876" spans="1:28" x14ac:dyDescent="0.15">
      <c r="A2876" s="1">
        <v>7352</v>
      </c>
      <c r="J2876" s="1" t="s">
        <v>1332</v>
      </c>
      <c r="L2876" s="1" t="s">
        <v>901</v>
      </c>
      <c r="M2876" s="1" t="s">
        <v>3074</v>
      </c>
      <c r="N2876" s="1" t="s">
        <v>6506</v>
      </c>
      <c r="P2876" s="1" t="s">
        <v>3079</v>
      </c>
      <c r="Q2876" s="3">
        <v>0</v>
      </c>
      <c r="S2876" s="23" t="s">
        <v>5949</v>
      </c>
      <c r="T2876" s="23" t="s">
        <v>4931</v>
      </c>
      <c r="U2876" s="3">
        <v>34</v>
      </c>
      <c r="W2876" s="45" t="str">
        <f>HYPERLINK("http://ictvonline.org/taxonomy/p/taxonomy-history?taxnode_id=201850813","ICTVonline=201850813")</f>
        <v>ICTVonline=201850813</v>
      </c>
      <c r="AA2876" s="1">
        <v>201850000</v>
      </c>
      <c r="AB2876" s="1">
        <v>34</v>
      </c>
    </row>
    <row r="2877" spans="1:28" x14ac:dyDescent="0.15">
      <c r="A2877" s="1">
        <v>7354</v>
      </c>
      <c r="J2877" s="1" t="s">
        <v>1332</v>
      </c>
      <c r="L2877" s="1" t="s">
        <v>901</v>
      </c>
      <c r="M2877" s="1" t="s">
        <v>3074</v>
      </c>
      <c r="N2877" s="1" t="s">
        <v>6506</v>
      </c>
      <c r="P2877" s="1" t="s">
        <v>3080</v>
      </c>
      <c r="Q2877" s="3">
        <v>0</v>
      </c>
      <c r="S2877" s="23" t="s">
        <v>5949</v>
      </c>
      <c r="T2877" s="23" t="s">
        <v>4931</v>
      </c>
      <c r="U2877" s="3">
        <v>34</v>
      </c>
      <c r="W2877" s="45" t="str">
        <f>HYPERLINK("http://ictvonline.org/taxonomy/p/taxonomy-history?taxnode_id=201850814","ICTVonline=201850814")</f>
        <v>ICTVonline=201850814</v>
      </c>
      <c r="AA2877" s="1">
        <v>201850000</v>
      </c>
      <c r="AB2877" s="1">
        <v>34</v>
      </c>
    </row>
    <row r="2878" spans="1:28" x14ac:dyDescent="0.15">
      <c r="A2878" s="1">
        <v>7356</v>
      </c>
      <c r="J2878" s="1" t="s">
        <v>1332</v>
      </c>
      <c r="L2878" s="1" t="s">
        <v>901</v>
      </c>
      <c r="M2878" s="1" t="s">
        <v>3074</v>
      </c>
      <c r="N2878" s="1" t="s">
        <v>6506</v>
      </c>
      <c r="P2878" s="1" t="s">
        <v>4350</v>
      </c>
      <c r="Q2878" s="3">
        <v>0</v>
      </c>
      <c r="S2878" s="23" t="s">
        <v>5949</v>
      </c>
      <c r="T2878" s="23" t="s">
        <v>4931</v>
      </c>
      <c r="U2878" s="3">
        <v>34</v>
      </c>
      <c r="W2878" s="45" t="str">
        <f>HYPERLINK("http://ictvonline.org/taxonomy/p/taxonomy-history?taxnode_id=201850815","ICTVonline=201850815")</f>
        <v>ICTVonline=201850815</v>
      </c>
      <c r="AA2878" s="1">
        <v>201850000</v>
      </c>
      <c r="AB2878" s="1">
        <v>34</v>
      </c>
    </row>
    <row r="2879" spans="1:28" x14ac:dyDescent="0.15">
      <c r="A2879" s="1">
        <v>7358</v>
      </c>
      <c r="J2879" s="1" t="s">
        <v>1332</v>
      </c>
      <c r="L2879" s="1" t="s">
        <v>901</v>
      </c>
      <c r="M2879" s="1" t="s">
        <v>3074</v>
      </c>
      <c r="N2879" s="1" t="s">
        <v>6506</v>
      </c>
      <c r="P2879" s="1" t="s">
        <v>3081</v>
      </c>
      <c r="Q2879" s="3">
        <v>0</v>
      </c>
      <c r="S2879" s="23" t="s">
        <v>5949</v>
      </c>
      <c r="T2879" s="23" t="s">
        <v>4931</v>
      </c>
      <c r="U2879" s="3">
        <v>34</v>
      </c>
      <c r="W2879" s="45" t="str">
        <f>HYPERLINK("http://ictvonline.org/taxonomy/p/taxonomy-history?taxnode_id=201850816","ICTVonline=201850816")</f>
        <v>ICTVonline=201850816</v>
      </c>
      <c r="AA2879" s="1">
        <v>201850000</v>
      </c>
      <c r="AB2879" s="1">
        <v>34</v>
      </c>
    </row>
    <row r="2880" spans="1:28" x14ac:dyDescent="0.15">
      <c r="A2880" s="1">
        <v>7360</v>
      </c>
      <c r="J2880" s="1" t="s">
        <v>1332</v>
      </c>
      <c r="L2880" s="1" t="s">
        <v>901</v>
      </c>
      <c r="M2880" s="1" t="s">
        <v>3074</v>
      </c>
      <c r="N2880" s="1" t="s">
        <v>6506</v>
      </c>
      <c r="P2880" s="1" t="s">
        <v>3082</v>
      </c>
      <c r="Q2880" s="3">
        <v>0</v>
      </c>
      <c r="S2880" s="23" t="s">
        <v>5949</v>
      </c>
      <c r="T2880" s="23" t="s">
        <v>4931</v>
      </c>
      <c r="U2880" s="3">
        <v>34</v>
      </c>
      <c r="W2880" s="45" t="str">
        <f>HYPERLINK("http://ictvonline.org/taxonomy/p/taxonomy-history?taxnode_id=201850817","ICTVonline=201850817")</f>
        <v>ICTVonline=201850817</v>
      </c>
      <c r="AA2880" s="1">
        <v>201850000</v>
      </c>
      <c r="AB2880" s="1">
        <v>34</v>
      </c>
    </row>
    <row r="2881" spans="1:28" x14ac:dyDescent="0.15">
      <c r="A2881" s="1">
        <v>7362</v>
      </c>
      <c r="J2881" s="1" t="s">
        <v>1332</v>
      </c>
      <c r="L2881" s="1" t="s">
        <v>901</v>
      </c>
      <c r="M2881" s="1" t="s">
        <v>3074</v>
      </c>
      <c r="N2881" s="1" t="s">
        <v>6506</v>
      </c>
      <c r="P2881" s="1" t="s">
        <v>3083</v>
      </c>
      <c r="Q2881" s="3">
        <v>0</v>
      </c>
      <c r="S2881" s="23" t="s">
        <v>5949</v>
      </c>
      <c r="T2881" s="23" t="s">
        <v>4931</v>
      </c>
      <c r="U2881" s="3">
        <v>34</v>
      </c>
      <c r="W2881" s="45" t="str">
        <f>HYPERLINK("http://ictvonline.org/taxonomy/p/taxonomy-history?taxnode_id=201850818","ICTVonline=201850818")</f>
        <v>ICTVonline=201850818</v>
      </c>
      <c r="AA2881" s="1">
        <v>201850000</v>
      </c>
      <c r="AB2881" s="1">
        <v>34</v>
      </c>
    </row>
    <row r="2882" spans="1:28" x14ac:dyDescent="0.15">
      <c r="A2882" s="1">
        <v>7364</v>
      </c>
      <c r="J2882" s="1" t="s">
        <v>1332</v>
      </c>
      <c r="L2882" s="1" t="s">
        <v>901</v>
      </c>
      <c r="M2882" s="1" t="s">
        <v>3074</v>
      </c>
      <c r="N2882" s="1" t="s">
        <v>6506</v>
      </c>
      <c r="P2882" s="1" t="s">
        <v>3084</v>
      </c>
      <c r="Q2882" s="3">
        <v>0</v>
      </c>
      <c r="S2882" s="23" t="s">
        <v>5949</v>
      </c>
      <c r="T2882" s="23" t="s">
        <v>4931</v>
      </c>
      <c r="U2882" s="3">
        <v>34</v>
      </c>
      <c r="W2882" s="45" t="str">
        <f>HYPERLINK("http://ictvonline.org/taxonomy/p/taxonomy-history?taxnode_id=201850819","ICTVonline=201850819")</f>
        <v>ICTVonline=201850819</v>
      </c>
      <c r="AA2882" s="1">
        <v>201850000</v>
      </c>
      <c r="AB2882" s="1">
        <v>34</v>
      </c>
    </row>
    <row r="2883" spans="1:28" x14ac:dyDescent="0.15">
      <c r="A2883" s="1">
        <v>7366</v>
      </c>
      <c r="J2883" s="1" t="s">
        <v>1332</v>
      </c>
      <c r="L2883" s="1" t="s">
        <v>901</v>
      </c>
      <c r="M2883" s="1" t="s">
        <v>3074</v>
      </c>
      <c r="N2883" s="1" t="s">
        <v>6506</v>
      </c>
      <c r="P2883" s="1" t="s">
        <v>3085</v>
      </c>
      <c r="Q2883" s="3">
        <v>1</v>
      </c>
      <c r="S2883" s="23" t="s">
        <v>5949</v>
      </c>
      <c r="T2883" s="23" t="s">
        <v>4931</v>
      </c>
      <c r="U2883" s="3">
        <v>34</v>
      </c>
      <c r="W2883" s="45" t="str">
        <f>HYPERLINK("http://ictvonline.org/taxonomy/p/taxonomy-history?taxnode_id=201850820","ICTVonline=201850820")</f>
        <v>ICTVonline=201850820</v>
      </c>
      <c r="AA2883" s="1">
        <v>201850000</v>
      </c>
      <c r="AB2883" s="1">
        <v>34</v>
      </c>
    </row>
    <row r="2884" spans="1:28" x14ac:dyDescent="0.15">
      <c r="A2884" s="1">
        <v>7370</v>
      </c>
      <c r="J2884" s="1" t="s">
        <v>1332</v>
      </c>
      <c r="L2884" s="1" t="s">
        <v>901</v>
      </c>
      <c r="M2884" s="1" t="s">
        <v>3074</v>
      </c>
      <c r="N2884" s="1" t="s">
        <v>3086</v>
      </c>
      <c r="P2884" s="1" t="s">
        <v>3087</v>
      </c>
      <c r="Q2884" s="3">
        <v>0</v>
      </c>
      <c r="S2884" s="23" t="s">
        <v>5949</v>
      </c>
      <c r="W2884" s="45" t="str">
        <f>HYPERLINK("http://ictvonline.org/taxonomy/p/taxonomy-history?taxnode_id=201850822","ICTVonline=201850822")</f>
        <v>ICTVonline=201850822</v>
      </c>
      <c r="AA2884" s="1">
        <v>201850000</v>
      </c>
      <c r="AB2884" s="1">
        <v>34</v>
      </c>
    </row>
    <row r="2885" spans="1:28" x14ac:dyDescent="0.15">
      <c r="A2885" s="1">
        <v>7372</v>
      </c>
      <c r="J2885" s="1" t="s">
        <v>1332</v>
      </c>
      <c r="L2885" s="1" t="s">
        <v>901</v>
      </c>
      <c r="M2885" s="1" t="s">
        <v>3074</v>
      </c>
      <c r="N2885" s="1" t="s">
        <v>3086</v>
      </c>
      <c r="P2885" s="1" t="s">
        <v>3088</v>
      </c>
      <c r="Q2885" s="3">
        <v>1</v>
      </c>
      <c r="S2885" s="23" t="s">
        <v>5949</v>
      </c>
      <c r="W2885" s="45" t="str">
        <f>HYPERLINK("http://ictvonline.org/taxonomy/p/taxonomy-history?taxnode_id=201850823","ICTVonline=201850823")</f>
        <v>ICTVonline=201850823</v>
      </c>
      <c r="AA2885" s="1">
        <v>201850000</v>
      </c>
      <c r="AB2885" s="1">
        <v>34</v>
      </c>
    </row>
    <row r="2886" spans="1:28" x14ac:dyDescent="0.15">
      <c r="A2886" s="1">
        <v>7376</v>
      </c>
      <c r="J2886" s="1" t="s">
        <v>1332</v>
      </c>
      <c r="L2886" s="1" t="s">
        <v>901</v>
      </c>
      <c r="M2886" s="1" t="s">
        <v>3074</v>
      </c>
      <c r="N2886" s="1" t="s">
        <v>6507</v>
      </c>
      <c r="P2886" s="1" t="s">
        <v>6508</v>
      </c>
      <c r="Q2886" s="3">
        <v>1</v>
      </c>
      <c r="S2886" s="23" t="s">
        <v>5949</v>
      </c>
      <c r="T2886" s="23" t="s">
        <v>4929</v>
      </c>
      <c r="U2886" s="3">
        <v>34</v>
      </c>
      <c r="V2886" s="3" t="s">
        <v>6503</v>
      </c>
      <c r="W2886" s="45" t="str">
        <f>HYPERLINK("http://ictvonline.org/taxonomy/p/taxonomy-history?taxnode_id=201857071","ICTVonline=201857071")</f>
        <v>ICTVonline=201857071</v>
      </c>
      <c r="AA2886" s="1">
        <v>201850000</v>
      </c>
      <c r="AB2886" s="1">
        <v>34</v>
      </c>
    </row>
    <row r="2887" spans="1:28" x14ac:dyDescent="0.15">
      <c r="A2887" s="1">
        <v>7380</v>
      </c>
      <c r="J2887" s="1" t="s">
        <v>1332</v>
      </c>
      <c r="L2887" s="1" t="s">
        <v>901</v>
      </c>
      <c r="M2887" s="1" t="s">
        <v>3074</v>
      </c>
      <c r="N2887" s="1" t="s">
        <v>3093</v>
      </c>
      <c r="P2887" s="1" t="s">
        <v>3094</v>
      </c>
      <c r="Q2887" s="3">
        <v>0</v>
      </c>
      <c r="S2887" s="23" t="s">
        <v>5949</v>
      </c>
      <c r="W2887" s="45" t="str">
        <f>HYPERLINK("http://ictvonline.org/taxonomy/p/taxonomy-history?taxnode_id=201850832","ICTVonline=201850832")</f>
        <v>ICTVonline=201850832</v>
      </c>
      <c r="AA2887" s="1">
        <v>201850000</v>
      </c>
      <c r="AB2887" s="1">
        <v>34</v>
      </c>
    </row>
    <row r="2888" spans="1:28" x14ac:dyDescent="0.15">
      <c r="A2888" s="1">
        <v>7382</v>
      </c>
      <c r="J2888" s="1" t="s">
        <v>1332</v>
      </c>
      <c r="L2888" s="1" t="s">
        <v>901</v>
      </c>
      <c r="M2888" s="1" t="s">
        <v>3074</v>
      </c>
      <c r="N2888" s="1" t="s">
        <v>3093</v>
      </c>
      <c r="P2888" s="1" t="s">
        <v>3095</v>
      </c>
      <c r="Q2888" s="3">
        <v>1</v>
      </c>
      <c r="S2888" s="23" t="s">
        <v>5949</v>
      </c>
      <c r="W2888" s="45" t="str">
        <f>HYPERLINK("http://ictvonline.org/taxonomy/p/taxonomy-history?taxnode_id=201850833","ICTVonline=201850833")</f>
        <v>ICTVonline=201850833</v>
      </c>
      <c r="AA2888" s="1">
        <v>201850000</v>
      </c>
      <c r="AB2888" s="1">
        <v>34</v>
      </c>
    </row>
    <row r="2889" spans="1:28" x14ac:dyDescent="0.15">
      <c r="A2889" s="1">
        <v>7384</v>
      </c>
      <c r="J2889" s="1" t="s">
        <v>1332</v>
      </c>
      <c r="L2889" s="1" t="s">
        <v>901</v>
      </c>
      <c r="M2889" s="1" t="s">
        <v>3074</v>
      </c>
      <c r="N2889" s="1" t="s">
        <v>3093</v>
      </c>
      <c r="P2889" s="1" t="s">
        <v>3096</v>
      </c>
      <c r="Q2889" s="3">
        <v>0</v>
      </c>
      <c r="S2889" s="23" t="s">
        <v>5949</v>
      </c>
      <c r="W2889" s="45" t="str">
        <f>HYPERLINK("http://ictvonline.org/taxonomy/p/taxonomy-history?taxnode_id=201850834","ICTVonline=201850834")</f>
        <v>ICTVonline=201850834</v>
      </c>
      <c r="AA2889" s="1">
        <v>201850000</v>
      </c>
      <c r="AB2889" s="1">
        <v>34</v>
      </c>
    </row>
    <row r="2890" spans="1:28" x14ac:dyDescent="0.15">
      <c r="A2890" s="1">
        <v>7388</v>
      </c>
      <c r="J2890" s="1" t="s">
        <v>1332</v>
      </c>
      <c r="L2890" s="1" t="s">
        <v>901</v>
      </c>
      <c r="M2890" s="1" t="s">
        <v>3074</v>
      </c>
      <c r="N2890" s="1" t="s">
        <v>6509</v>
      </c>
      <c r="P2890" s="1" t="s">
        <v>3089</v>
      </c>
      <c r="Q2890" s="3">
        <v>0</v>
      </c>
      <c r="S2890" s="23" t="s">
        <v>5949</v>
      </c>
      <c r="T2890" s="23" t="s">
        <v>4931</v>
      </c>
      <c r="U2890" s="3">
        <v>34</v>
      </c>
      <c r="W2890" s="45" t="str">
        <f>HYPERLINK("http://ictvonline.org/taxonomy/p/taxonomy-history?taxnode_id=201850825","ICTVonline=201850825")</f>
        <v>ICTVonline=201850825</v>
      </c>
      <c r="AA2890" s="1">
        <v>201850000</v>
      </c>
      <c r="AB2890" s="1">
        <v>34</v>
      </c>
    </row>
    <row r="2891" spans="1:28" x14ac:dyDescent="0.15">
      <c r="A2891" s="1">
        <v>7390</v>
      </c>
      <c r="J2891" s="1" t="s">
        <v>1332</v>
      </c>
      <c r="L2891" s="1" t="s">
        <v>901</v>
      </c>
      <c r="M2891" s="1" t="s">
        <v>3074</v>
      </c>
      <c r="N2891" s="1" t="s">
        <v>6509</v>
      </c>
      <c r="P2891" s="1" t="s">
        <v>4351</v>
      </c>
      <c r="Q2891" s="3">
        <v>0</v>
      </c>
      <c r="S2891" s="23" t="s">
        <v>5949</v>
      </c>
      <c r="T2891" s="23" t="s">
        <v>4931</v>
      </c>
      <c r="U2891" s="3">
        <v>34</v>
      </c>
      <c r="W2891" s="45" t="str">
        <f>HYPERLINK("http://ictvonline.org/taxonomy/p/taxonomy-history?taxnode_id=201850826","ICTVonline=201850826")</f>
        <v>ICTVonline=201850826</v>
      </c>
      <c r="AA2891" s="1">
        <v>201850000</v>
      </c>
      <c r="AB2891" s="1">
        <v>34</v>
      </c>
    </row>
    <row r="2892" spans="1:28" x14ac:dyDescent="0.15">
      <c r="A2892" s="1">
        <v>7392</v>
      </c>
      <c r="J2892" s="1" t="s">
        <v>1332</v>
      </c>
      <c r="L2892" s="1" t="s">
        <v>901</v>
      </c>
      <c r="M2892" s="1" t="s">
        <v>3074</v>
      </c>
      <c r="N2892" s="1" t="s">
        <v>6509</v>
      </c>
      <c r="P2892" s="1" t="s">
        <v>4352</v>
      </c>
      <c r="Q2892" s="3">
        <v>0</v>
      </c>
      <c r="S2892" s="23" t="s">
        <v>5949</v>
      </c>
      <c r="T2892" s="23" t="s">
        <v>4931</v>
      </c>
      <c r="U2892" s="3">
        <v>34</v>
      </c>
      <c r="W2892" s="45" t="str">
        <f>HYPERLINK("http://ictvonline.org/taxonomy/p/taxonomy-history?taxnode_id=201850827","ICTVonline=201850827")</f>
        <v>ICTVonline=201850827</v>
      </c>
      <c r="AA2892" s="1">
        <v>201850000</v>
      </c>
      <c r="AB2892" s="1">
        <v>34</v>
      </c>
    </row>
    <row r="2893" spans="1:28" x14ac:dyDescent="0.15">
      <c r="A2893" s="1">
        <v>7394</v>
      </c>
      <c r="J2893" s="1" t="s">
        <v>1332</v>
      </c>
      <c r="L2893" s="1" t="s">
        <v>901</v>
      </c>
      <c r="M2893" s="1" t="s">
        <v>3074</v>
      </c>
      <c r="N2893" s="1" t="s">
        <v>6509</v>
      </c>
      <c r="P2893" s="1" t="s">
        <v>3090</v>
      </c>
      <c r="Q2893" s="3">
        <v>1</v>
      </c>
      <c r="S2893" s="23" t="s">
        <v>5949</v>
      </c>
      <c r="T2893" s="23" t="s">
        <v>4931</v>
      </c>
      <c r="U2893" s="3">
        <v>34</v>
      </c>
      <c r="W2893" s="45" t="str">
        <f>HYPERLINK("http://ictvonline.org/taxonomy/p/taxonomy-history?taxnode_id=201850828","ICTVonline=201850828")</f>
        <v>ICTVonline=201850828</v>
      </c>
      <c r="AA2893" s="1">
        <v>201850000</v>
      </c>
      <c r="AB2893" s="1">
        <v>34</v>
      </c>
    </row>
    <row r="2894" spans="1:28" x14ac:dyDescent="0.15">
      <c r="A2894" s="1">
        <v>7396</v>
      </c>
      <c r="J2894" s="1" t="s">
        <v>1332</v>
      </c>
      <c r="L2894" s="1" t="s">
        <v>901</v>
      </c>
      <c r="M2894" s="1" t="s">
        <v>3074</v>
      </c>
      <c r="N2894" s="1" t="s">
        <v>6509</v>
      </c>
      <c r="P2894" s="1" t="s">
        <v>3091</v>
      </c>
      <c r="Q2894" s="3">
        <v>0</v>
      </c>
      <c r="S2894" s="23" t="s">
        <v>5949</v>
      </c>
      <c r="T2894" s="23" t="s">
        <v>4931</v>
      </c>
      <c r="U2894" s="3">
        <v>34</v>
      </c>
      <c r="W2894" s="45" t="str">
        <f>HYPERLINK("http://ictvonline.org/taxonomy/p/taxonomy-history?taxnode_id=201850829","ICTVonline=201850829")</f>
        <v>ICTVonline=201850829</v>
      </c>
      <c r="AA2894" s="1">
        <v>201850000</v>
      </c>
      <c r="AB2894" s="1">
        <v>34</v>
      </c>
    </row>
    <row r="2895" spans="1:28" x14ac:dyDescent="0.15">
      <c r="A2895" s="1">
        <v>7398</v>
      </c>
      <c r="J2895" s="1" t="s">
        <v>1332</v>
      </c>
      <c r="L2895" s="1" t="s">
        <v>901</v>
      </c>
      <c r="M2895" s="1" t="s">
        <v>3074</v>
      </c>
      <c r="N2895" s="1" t="s">
        <v>6509</v>
      </c>
      <c r="P2895" s="1" t="s">
        <v>3092</v>
      </c>
      <c r="Q2895" s="3">
        <v>0</v>
      </c>
      <c r="S2895" s="23" t="s">
        <v>5949</v>
      </c>
      <c r="T2895" s="23" t="s">
        <v>4931</v>
      </c>
      <c r="U2895" s="3">
        <v>34</v>
      </c>
      <c r="W2895" s="45" t="str">
        <f>HYPERLINK("http://ictvonline.org/taxonomy/p/taxonomy-history?taxnode_id=201850830","ICTVonline=201850830")</f>
        <v>ICTVonline=201850830</v>
      </c>
      <c r="AA2895" s="1">
        <v>201850000</v>
      </c>
      <c r="AB2895" s="1">
        <v>34</v>
      </c>
    </row>
    <row r="2896" spans="1:28" x14ac:dyDescent="0.15">
      <c r="A2896" s="1">
        <v>7400</v>
      </c>
      <c r="J2896" s="1" t="s">
        <v>1332</v>
      </c>
      <c r="L2896" s="1" t="s">
        <v>901</v>
      </c>
      <c r="M2896" s="1" t="s">
        <v>3074</v>
      </c>
      <c r="N2896" s="1" t="s">
        <v>6509</v>
      </c>
      <c r="P2896" s="1" t="s">
        <v>6510</v>
      </c>
      <c r="Q2896" s="3">
        <v>0</v>
      </c>
      <c r="S2896" s="23" t="s">
        <v>5949</v>
      </c>
      <c r="T2896" s="23" t="s">
        <v>4929</v>
      </c>
      <c r="U2896" s="3">
        <v>34</v>
      </c>
      <c r="V2896" s="3" t="s">
        <v>6511</v>
      </c>
      <c r="W2896" s="45" t="str">
        <f>HYPERLINK("http://ictvonline.org/taxonomy/p/taxonomy-history?taxnode_id=201857089","ICTVonline=201857089")</f>
        <v>ICTVonline=201857089</v>
      </c>
      <c r="AA2896" s="1">
        <v>201850000</v>
      </c>
      <c r="AB2896" s="1">
        <v>34</v>
      </c>
    </row>
    <row r="2897" spans="1:28" x14ac:dyDescent="0.15">
      <c r="A2897" s="1">
        <v>7404</v>
      </c>
      <c r="J2897" s="1" t="s">
        <v>1332</v>
      </c>
      <c r="L2897" s="1" t="s">
        <v>901</v>
      </c>
      <c r="M2897" s="1" t="s">
        <v>3074</v>
      </c>
      <c r="N2897" s="1" t="s">
        <v>6512</v>
      </c>
      <c r="P2897" s="1" t="s">
        <v>3075</v>
      </c>
      <c r="Q2897" s="3">
        <v>0</v>
      </c>
      <c r="S2897" s="23" t="s">
        <v>5949</v>
      </c>
      <c r="T2897" s="23" t="s">
        <v>4931</v>
      </c>
      <c r="U2897" s="3">
        <v>34</v>
      </c>
      <c r="W2897" s="45" t="str">
        <f>HYPERLINK("http://ictvonline.org/taxonomy/p/taxonomy-history?taxnode_id=201850805","ICTVonline=201850805")</f>
        <v>ICTVonline=201850805</v>
      </c>
      <c r="AA2897" s="1">
        <v>201850000</v>
      </c>
      <c r="AB2897" s="1">
        <v>34</v>
      </c>
    </row>
    <row r="2898" spans="1:28" x14ac:dyDescent="0.15">
      <c r="A2898" s="1">
        <v>7406</v>
      </c>
      <c r="J2898" s="1" t="s">
        <v>1332</v>
      </c>
      <c r="L2898" s="1" t="s">
        <v>901</v>
      </c>
      <c r="M2898" s="1" t="s">
        <v>3074</v>
      </c>
      <c r="N2898" s="1" t="s">
        <v>6512</v>
      </c>
      <c r="P2898" s="1" t="s">
        <v>3076</v>
      </c>
      <c r="Q2898" s="3">
        <v>0</v>
      </c>
      <c r="S2898" s="23" t="s">
        <v>5949</v>
      </c>
      <c r="T2898" s="23" t="s">
        <v>4931</v>
      </c>
      <c r="U2898" s="3">
        <v>34</v>
      </c>
      <c r="W2898" s="45" t="str">
        <f>HYPERLINK("http://ictvonline.org/taxonomy/p/taxonomy-history?taxnode_id=201850806","ICTVonline=201850806")</f>
        <v>ICTVonline=201850806</v>
      </c>
      <c r="AA2898" s="1">
        <v>201850000</v>
      </c>
      <c r="AB2898" s="1">
        <v>34</v>
      </c>
    </row>
    <row r="2899" spans="1:28" x14ac:dyDescent="0.15">
      <c r="A2899" s="1">
        <v>7408</v>
      </c>
      <c r="J2899" s="1" t="s">
        <v>1332</v>
      </c>
      <c r="L2899" s="1" t="s">
        <v>901</v>
      </c>
      <c r="M2899" s="1" t="s">
        <v>3074</v>
      </c>
      <c r="N2899" s="1" t="s">
        <v>6512</v>
      </c>
      <c r="P2899" s="1" t="s">
        <v>4347</v>
      </c>
      <c r="Q2899" s="3">
        <v>0</v>
      </c>
      <c r="S2899" s="23" t="s">
        <v>5949</v>
      </c>
      <c r="T2899" s="23" t="s">
        <v>4931</v>
      </c>
      <c r="U2899" s="3">
        <v>34</v>
      </c>
      <c r="W2899" s="45" t="str">
        <f>HYPERLINK("http://ictvonline.org/taxonomy/p/taxonomy-history?taxnode_id=201850807","ICTVonline=201850807")</f>
        <v>ICTVonline=201850807</v>
      </c>
      <c r="AA2899" s="1">
        <v>201850000</v>
      </c>
      <c r="AB2899" s="1">
        <v>34</v>
      </c>
    </row>
    <row r="2900" spans="1:28" x14ac:dyDescent="0.15">
      <c r="A2900" s="1">
        <v>7410</v>
      </c>
      <c r="J2900" s="1" t="s">
        <v>1332</v>
      </c>
      <c r="L2900" s="1" t="s">
        <v>901</v>
      </c>
      <c r="M2900" s="1" t="s">
        <v>3074</v>
      </c>
      <c r="N2900" s="1" t="s">
        <v>6512</v>
      </c>
      <c r="P2900" s="1" t="s">
        <v>3077</v>
      </c>
      <c r="Q2900" s="3">
        <v>1</v>
      </c>
      <c r="S2900" s="23" t="s">
        <v>5949</v>
      </c>
      <c r="T2900" s="23" t="s">
        <v>4931</v>
      </c>
      <c r="U2900" s="3">
        <v>34</v>
      </c>
      <c r="W2900" s="45" t="str">
        <f>HYPERLINK("http://ictvonline.org/taxonomy/p/taxonomy-history?taxnode_id=201850808","ICTVonline=201850808")</f>
        <v>ICTVonline=201850808</v>
      </c>
      <c r="AA2900" s="1">
        <v>201850000</v>
      </c>
      <c r="AB2900" s="1">
        <v>34</v>
      </c>
    </row>
    <row r="2901" spans="1:28" x14ac:dyDescent="0.15">
      <c r="A2901" s="1">
        <v>7412</v>
      </c>
      <c r="J2901" s="1" t="s">
        <v>1332</v>
      </c>
      <c r="L2901" s="1" t="s">
        <v>901</v>
      </c>
      <c r="M2901" s="1" t="s">
        <v>3074</v>
      </c>
      <c r="N2901" s="1" t="s">
        <v>6512</v>
      </c>
      <c r="P2901" s="1" t="s">
        <v>4348</v>
      </c>
      <c r="Q2901" s="3">
        <v>0</v>
      </c>
      <c r="S2901" s="23" t="s">
        <v>5949</v>
      </c>
      <c r="T2901" s="23" t="s">
        <v>4931</v>
      </c>
      <c r="U2901" s="3">
        <v>34</v>
      </c>
      <c r="W2901" s="45" t="str">
        <f>HYPERLINK("http://ictvonline.org/taxonomy/p/taxonomy-history?taxnode_id=201850809","ICTVonline=201850809")</f>
        <v>ICTVonline=201850809</v>
      </c>
      <c r="AA2901" s="1">
        <v>201850000</v>
      </c>
      <c r="AB2901" s="1">
        <v>34</v>
      </c>
    </row>
    <row r="2902" spans="1:28" x14ac:dyDescent="0.15">
      <c r="A2902" s="1">
        <v>7414</v>
      </c>
      <c r="J2902" s="1" t="s">
        <v>1332</v>
      </c>
      <c r="L2902" s="1" t="s">
        <v>901</v>
      </c>
      <c r="M2902" s="1" t="s">
        <v>3074</v>
      </c>
      <c r="N2902" s="1" t="s">
        <v>6512</v>
      </c>
      <c r="P2902" s="1" t="s">
        <v>4349</v>
      </c>
      <c r="Q2902" s="3">
        <v>0</v>
      </c>
      <c r="S2902" s="23" t="s">
        <v>5949</v>
      </c>
      <c r="T2902" s="23" t="s">
        <v>4931</v>
      </c>
      <c r="U2902" s="3">
        <v>34</v>
      </c>
      <c r="W2902" s="45" t="str">
        <f>HYPERLINK("http://ictvonline.org/taxonomy/p/taxonomy-history?taxnode_id=201850810","ICTVonline=201850810")</f>
        <v>ICTVonline=201850810</v>
      </c>
      <c r="AA2902" s="1">
        <v>201850000</v>
      </c>
      <c r="AB2902" s="1">
        <v>34</v>
      </c>
    </row>
    <row r="2903" spans="1:28" x14ac:dyDescent="0.15">
      <c r="A2903" s="1">
        <v>7417</v>
      </c>
      <c r="J2903" s="1" t="s">
        <v>1332</v>
      </c>
      <c r="L2903" s="1" t="s">
        <v>901</v>
      </c>
      <c r="M2903" s="1" t="s">
        <v>3074</v>
      </c>
      <c r="P2903" s="1" t="s">
        <v>3097</v>
      </c>
      <c r="Q2903" s="3">
        <v>0</v>
      </c>
      <c r="S2903" s="23" t="s">
        <v>5949</v>
      </c>
      <c r="W2903" s="45" t="str">
        <f>HYPERLINK("http://ictvonline.org/taxonomy/p/taxonomy-history?taxnode_id=201850836","ICTVonline=201850836")</f>
        <v>ICTVonline=201850836</v>
      </c>
      <c r="AA2903" s="1">
        <v>201850000</v>
      </c>
      <c r="AB2903" s="1">
        <v>34</v>
      </c>
    </row>
    <row r="2904" spans="1:28" x14ac:dyDescent="0.15">
      <c r="A2904" s="1">
        <v>7421</v>
      </c>
      <c r="J2904" s="1" t="s">
        <v>1332</v>
      </c>
      <c r="L2904" s="1" t="s">
        <v>901</v>
      </c>
      <c r="N2904" s="1" t="s">
        <v>6513</v>
      </c>
      <c r="P2904" s="1" t="s">
        <v>4353</v>
      </c>
      <c r="Q2904" s="3">
        <v>1</v>
      </c>
      <c r="S2904" s="23" t="s">
        <v>5949</v>
      </c>
      <c r="T2904" s="23" t="s">
        <v>4931</v>
      </c>
      <c r="U2904" s="3">
        <v>34</v>
      </c>
      <c r="W2904" s="45" t="str">
        <f>HYPERLINK("http://ictvonline.org/taxonomy/p/taxonomy-history?taxnode_id=201850839","ICTVonline=201850839")</f>
        <v>ICTVonline=201850839</v>
      </c>
      <c r="AA2904" s="1">
        <v>201850000</v>
      </c>
      <c r="AB2904" s="1">
        <v>34</v>
      </c>
    </row>
    <row r="2905" spans="1:28" x14ac:dyDescent="0.15">
      <c r="A2905" s="1">
        <v>7423</v>
      </c>
      <c r="J2905" s="1" t="s">
        <v>1332</v>
      </c>
      <c r="L2905" s="1" t="s">
        <v>901</v>
      </c>
      <c r="N2905" s="1" t="s">
        <v>6513</v>
      </c>
      <c r="P2905" s="1" t="s">
        <v>4354</v>
      </c>
      <c r="Q2905" s="3">
        <v>0</v>
      </c>
      <c r="S2905" s="23" t="s">
        <v>5949</v>
      </c>
      <c r="T2905" s="23" t="s">
        <v>4931</v>
      </c>
      <c r="U2905" s="3">
        <v>34</v>
      </c>
      <c r="W2905" s="45" t="str">
        <f>HYPERLINK("http://ictvonline.org/taxonomy/p/taxonomy-history?taxnode_id=201850840","ICTVonline=201850840")</f>
        <v>ICTVonline=201850840</v>
      </c>
      <c r="AA2905" s="1">
        <v>201850000</v>
      </c>
      <c r="AB2905" s="1">
        <v>34</v>
      </c>
    </row>
    <row r="2906" spans="1:28" x14ac:dyDescent="0.15">
      <c r="A2906" s="1">
        <v>7425</v>
      </c>
      <c r="J2906" s="1" t="s">
        <v>1332</v>
      </c>
      <c r="L2906" s="1" t="s">
        <v>901</v>
      </c>
      <c r="N2906" s="1" t="s">
        <v>6513</v>
      </c>
      <c r="P2906" s="1" t="s">
        <v>4355</v>
      </c>
      <c r="Q2906" s="3">
        <v>0</v>
      </c>
      <c r="S2906" s="23" t="s">
        <v>5949</v>
      </c>
      <c r="T2906" s="23" t="s">
        <v>4931</v>
      </c>
      <c r="U2906" s="3">
        <v>34</v>
      </c>
      <c r="W2906" s="45" t="str">
        <f>HYPERLINK("http://ictvonline.org/taxonomy/p/taxonomy-history?taxnode_id=201850841","ICTVonline=201850841")</f>
        <v>ICTVonline=201850841</v>
      </c>
      <c r="AA2906" s="1">
        <v>201850000</v>
      </c>
      <c r="AB2906" s="1">
        <v>34</v>
      </c>
    </row>
    <row r="2907" spans="1:28" x14ac:dyDescent="0.15">
      <c r="A2907" s="1">
        <v>7429</v>
      </c>
      <c r="J2907" s="1" t="s">
        <v>1332</v>
      </c>
      <c r="L2907" s="1" t="s">
        <v>901</v>
      </c>
      <c r="N2907" s="1" t="s">
        <v>6514</v>
      </c>
      <c r="P2907" s="1" t="s">
        <v>6515</v>
      </c>
      <c r="Q2907" s="3">
        <v>1</v>
      </c>
      <c r="S2907" s="23" t="s">
        <v>5949</v>
      </c>
      <c r="T2907" s="23" t="s">
        <v>4929</v>
      </c>
      <c r="U2907" s="3">
        <v>34</v>
      </c>
      <c r="V2907" s="3" t="s">
        <v>6516</v>
      </c>
      <c r="W2907" s="45" t="str">
        <f>HYPERLINK("http://ictvonline.org/taxonomy/p/taxonomy-history?taxnode_id=201856759","ICTVonline=201856759")</f>
        <v>ICTVonline=201856759</v>
      </c>
      <c r="AA2907" s="1">
        <v>201850000</v>
      </c>
      <c r="AB2907" s="1">
        <v>34</v>
      </c>
    </row>
    <row r="2908" spans="1:28" x14ac:dyDescent="0.15">
      <c r="A2908" s="1">
        <v>7433</v>
      </c>
      <c r="J2908" s="1" t="s">
        <v>1332</v>
      </c>
      <c r="L2908" s="1" t="s">
        <v>901</v>
      </c>
      <c r="N2908" s="1" t="s">
        <v>4356</v>
      </c>
      <c r="P2908" s="1" t="s">
        <v>4357</v>
      </c>
      <c r="Q2908" s="3">
        <v>1</v>
      </c>
      <c r="S2908" s="23" t="s">
        <v>5949</v>
      </c>
      <c r="W2908" s="45" t="str">
        <f>HYPERLINK("http://ictvonline.org/taxonomy/p/taxonomy-history?taxnode_id=201850843","ICTVonline=201850843")</f>
        <v>ICTVonline=201850843</v>
      </c>
      <c r="AA2908" s="1">
        <v>201850000</v>
      </c>
      <c r="AB2908" s="1">
        <v>34</v>
      </c>
    </row>
    <row r="2909" spans="1:28" x14ac:dyDescent="0.15">
      <c r="A2909" s="1">
        <v>7435</v>
      </c>
      <c r="J2909" s="1" t="s">
        <v>1332</v>
      </c>
      <c r="L2909" s="1" t="s">
        <v>901</v>
      </c>
      <c r="N2909" s="1" t="s">
        <v>4356</v>
      </c>
      <c r="P2909" s="1" t="s">
        <v>6517</v>
      </c>
      <c r="Q2909" s="3">
        <v>0</v>
      </c>
      <c r="S2909" s="23" t="s">
        <v>5949</v>
      </c>
      <c r="T2909" s="23" t="s">
        <v>4929</v>
      </c>
      <c r="U2909" s="3">
        <v>34</v>
      </c>
      <c r="V2909" s="3" t="s">
        <v>6518</v>
      </c>
      <c r="W2909" s="45" t="str">
        <f>HYPERLINK("http://ictvonline.org/taxonomy/p/taxonomy-history?taxnode_id=201856757","ICTVonline=201856757")</f>
        <v>ICTVonline=201856757</v>
      </c>
      <c r="AA2909" s="1">
        <v>201850000</v>
      </c>
      <c r="AB2909" s="1">
        <v>34</v>
      </c>
    </row>
    <row r="2910" spans="1:28" x14ac:dyDescent="0.15">
      <c r="A2910" s="1">
        <v>7439</v>
      </c>
      <c r="J2910" s="1" t="s">
        <v>1332</v>
      </c>
      <c r="L2910" s="1" t="s">
        <v>901</v>
      </c>
      <c r="N2910" s="1" t="s">
        <v>5068</v>
      </c>
      <c r="P2910" s="1" t="s">
        <v>5069</v>
      </c>
      <c r="Q2910" s="3">
        <v>1</v>
      </c>
      <c r="S2910" s="23" t="s">
        <v>5949</v>
      </c>
      <c r="W2910" s="45" t="str">
        <f>HYPERLINK("http://ictvonline.org/taxonomy/p/taxonomy-history?taxnode_id=201855538","ICTVonline=201855538")</f>
        <v>ICTVonline=201855538</v>
      </c>
      <c r="AA2910" s="1">
        <v>201850000</v>
      </c>
      <c r="AB2910" s="1">
        <v>34</v>
      </c>
    </row>
    <row r="2911" spans="1:28" x14ac:dyDescent="0.15">
      <c r="A2911" s="1">
        <v>7441</v>
      </c>
      <c r="J2911" s="1" t="s">
        <v>1332</v>
      </c>
      <c r="L2911" s="1" t="s">
        <v>901</v>
      </c>
      <c r="N2911" s="1" t="s">
        <v>5068</v>
      </c>
      <c r="P2911" s="1" t="s">
        <v>5070</v>
      </c>
      <c r="Q2911" s="3">
        <v>0</v>
      </c>
      <c r="S2911" s="23" t="s">
        <v>5949</v>
      </c>
      <c r="W2911" s="45" t="str">
        <f>HYPERLINK("http://ictvonline.org/taxonomy/p/taxonomy-history?taxnode_id=201855539","ICTVonline=201855539")</f>
        <v>ICTVonline=201855539</v>
      </c>
      <c r="AA2911" s="1">
        <v>201850000</v>
      </c>
      <c r="AB2911" s="1">
        <v>34</v>
      </c>
    </row>
    <row r="2912" spans="1:28" x14ac:dyDescent="0.15">
      <c r="A2912" s="1">
        <v>7445</v>
      </c>
      <c r="J2912" s="1" t="s">
        <v>1332</v>
      </c>
      <c r="L2912" s="1" t="s">
        <v>901</v>
      </c>
      <c r="N2912" s="1" t="s">
        <v>3098</v>
      </c>
      <c r="P2912" s="1" t="s">
        <v>3099</v>
      </c>
      <c r="Q2912" s="3">
        <v>1</v>
      </c>
      <c r="S2912" s="23" t="s">
        <v>5949</v>
      </c>
      <c r="W2912" s="45" t="str">
        <f>HYPERLINK("http://ictvonline.org/taxonomy/p/taxonomy-history?taxnode_id=201850845","ICTVonline=201850845")</f>
        <v>ICTVonline=201850845</v>
      </c>
      <c r="AA2912" s="1">
        <v>201850000</v>
      </c>
      <c r="AB2912" s="1">
        <v>34</v>
      </c>
    </row>
    <row r="2913" spans="1:28" x14ac:dyDescent="0.15">
      <c r="A2913" s="1">
        <v>7447</v>
      </c>
      <c r="J2913" s="1" t="s">
        <v>1332</v>
      </c>
      <c r="L2913" s="1" t="s">
        <v>901</v>
      </c>
      <c r="N2913" s="1" t="s">
        <v>3098</v>
      </c>
      <c r="P2913" s="1" t="s">
        <v>3100</v>
      </c>
      <c r="Q2913" s="3">
        <v>0</v>
      </c>
      <c r="S2913" s="23" t="s">
        <v>5949</v>
      </c>
      <c r="W2913" s="45" t="str">
        <f>HYPERLINK("http://ictvonline.org/taxonomy/p/taxonomy-history?taxnode_id=201850846","ICTVonline=201850846")</f>
        <v>ICTVonline=201850846</v>
      </c>
      <c r="AA2913" s="1">
        <v>201850000</v>
      </c>
      <c r="AB2913" s="1">
        <v>34</v>
      </c>
    </row>
    <row r="2914" spans="1:28" x14ac:dyDescent="0.15">
      <c r="A2914" s="1">
        <v>7449</v>
      </c>
      <c r="J2914" s="1" t="s">
        <v>1332</v>
      </c>
      <c r="L2914" s="1" t="s">
        <v>901</v>
      </c>
      <c r="N2914" s="1" t="s">
        <v>3098</v>
      </c>
      <c r="P2914" s="1" t="s">
        <v>3101</v>
      </c>
      <c r="Q2914" s="3">
        <v>0</v>
      </c>
      <c r="S2914" s="23" t="s">
        <v>5949</v>
      </c>
      <c r="W2914" s="45" t="str">
        <f>HYPERLINK("http://ictvonline.org/taxonomy/p/taxonomy-history?taxnode_id=201850847","ICTVonline=201850847")</f>
        <v>ICTVonline=201850847</v>
      </c>
      <c r="AA2914" s="1">
        <v>201850000</v>
      </c>
      <c r="AB2914" s="1">
        <v>34</v>
      </c>
    </row>
    <row r="2915" spans="1:28" x14ac:dyDescent="0.15">
      <c r="A2915" s="1">
        <v>7451</v>
      </c>
      <c r="J2915" s="1" t="s">
        <v>1332</v>
      </c>
      <c r="L2915" s="1" t="s">
        <v>901</v>
      </c>
      <c r="N2915" s="1" t="s">
        <v>3098</v>
      </c>
      <c r="P2915" s="1" t="s">
        <v>3102</v>
      </c>
      <c r="Q2915" s="3">
        <v>0</v>
      </c>
      <c r="S2915" s="23" t="s">
        <v>5949</v>
      </c>
      <c r="W2915" s="45" t="str">
        <f>HYPERLINK("http://ictvonline.org/taxonomy/p/taxonomy-history?taxnode_id=201850848","ICTVonline=201850848")</f>
        <v>ICTVonline=201850848</v>
      </c>
      <c r="AA2915" s="1">
        <v>201850000</v>
      </c>
      <c r="AB2915" s="1">
        <v>34</v>
      </c>
    </row>
    <row r="2916" spans="1:28" x14ac:dyDescent="0.15">
      <c r="A2916" s="1">
        <v>7453</v>
      </c>
      <c r="J2916" s="1" t="s">
        <v>1332</v>
      </c>
      <c r="L2916" s="1" t="s">
        <v>901</v>
      </c>
      <c r="N2916" s="1" t="s">
        <v>3098</v>
      </c>
      <c r="P2916" s="1" t="s">
        <v>3103</v>
      </c>
      <c r="Q2916" s="3">
        <v>0</v>
      </c>
      <c r="S2916" s="23" t="s">
        <v>5949</v>
      </c>
      <c r="W2916" s="45" t="str">
        <f>HYPERLINK("http://ictvonline.org/taxonomy/p/taxonomy-history?taxnode_id=201850849","ICTVonline=201850849")</f>
        <v>ICTVonline=201850849</v>
      </c>
      <c r="AA2916" s="1">
        <v>201850000</v>
      </c>
      <c r="AB2916" s="1">
        <v>34</v>
      </c>
    </row>
    <row r="2917" spans="1:28" x14ac:dyDescent="0.15">
      <c r="A2917" s="1">
        <v>7455</v>
      </c>
      <c r="J2917" s="1" t="s">
        <v>1332</v>
      </c>
      <c r="L2917" s="1" t="s">
        <v>901</v>
      </c>
      <c r="N2917" s="1" t="s">
        <v>3098</v>
      </c>
      <c r="P2917" s="1" t="s">
        <v>3104</v>
      </c>
      <c r="Q2917" s="3">
        <v>0</v>
      </c>
      <c r="S2917" s="23" t="s">
        <v>5949</v>
      </c>
      <c r="W2917" s="45" t="str">
        <f>HYPERLINK("http://ictvonline.org/taxonomy/p/taxonomy-history?taxnode_id=201850850","ICTVonline=201850850")</f>
        <v>ICTVonline=201850850</v>
      </c>
      <c r="AA2917" s="1">
        <v>201850000</v>
      </c>
      <c r="AB2917" s="1">
        <v>34</v>
      </c>
    </row>
    <row r="2918" spans="1:28" x14ac:dyDescent="0.15">
      <c r="A2918" s="1">
        <v>7457</v>
      </c>
      <c r="J2918" s="1" t="s">
        <v>1332</v>
      </c>
      <c r="L2918" s="1" t="s">
        <v>901</v>
      </c>
      <c r="N2918" s="1" t="s">
        <v>3098</v>
      </c>
      <c r="P2918" s="1" t="s">
        <v>3105</v>
      </c>
      <c r="Q2918" s="3">
        <v>0</v>
      </c>
      <c r="S2918" s="23" t="s">
        <v>5949</v>
      </c>
      <c r="W2918" s="45" t="str">
        <f>HYPERLINK("http://ictvonline.org/taxonomy/p/taxonomy-history?taxnode_id=201850851","ICTVonline=201850851")</f>
        <v>ICTVonline=201850851</v>
      </c>
      <c r="AA2918" s="1">
        <v>201850000</v>
      </c>
      <c r="AB2918" s="1">
        <v>34</v>
      </c>
    </row>
    <row r="2919" spans="1:28" x14ac:dyDescent="0.15">
      <c r="A2919" s="1">
        <v>7459</v>
      </c>
      <c r="J2919" s="1" t="s">
        <v>1332</v>
      </c>
      <c r="L2919" s="1" t="s">
        <v>901</v>
      </c>
      <c r="N2919" s="1" t="s">
        <v>3098</v>
      </c>
      <c r="P2919" s="1" t="s">
        <v>3106</v>
      </c>
      <c r="Q2919" s="3">
        <v>0</v>
      </c>
      <c r="S2919" s="23" t="s">
        <v>5949</v>
      </c>
      <c r="W2919" s="45" t="str">
        <f>HYPERLINK("http://ictvonline.org/taxonomy/p/taxonomy-history?taxnode_id=201850852","ICTVonline=201850852")</f>
        <v>ICTVonline=201850852</v>
      </c>
      <c r="AA2919" s="1">
        <v>201850000</v>
      </c>
      <c r="AB2919" s="1">
        <v>34</v>
      </c>
    </row>
    <row r="2920" spans="1:28" x14ac:dyDescent="0.15">
      <c r="A2920" s="1">
        <v>7463</v>
      </c>
      <c r="J2920" s="1" t="s">
        <v>1332</v>
      </c>
      <c r="L2920" s="1" t="s">
        <v>901</v>
      </c>
      <c r="N2920" s="1" t="s">
        <v>5071</v>
      </c>
      <c r="P2920" s="1" t="s">
        <v>5072</v>
      </c>
      <c r="Q2920" s="3">
        <v>1</v>
      </c>
      <c r="S2920" s="23" t="s">
        <v>5949</v>
      </c>
      <c r="W2920" s="45" t="str">
        <f>HYPERLINK("http://ictvonline.org/taxonomy/p/taxonomy-history?taxnode_id=201855541","ICTVonline=201855541")</f>
        <v>ICTVonline=201855541</v>
      </c>
      <c r="AA2920" s="1">
        <v>201850000</v>
      </c>
      <c r="AB2920" s="1">
        <v>34</v>
      </c>
    </row>
    <row r="2921" spans="1:28" x14ac:dyDescent="0.15">
      <c r="A2921" s="1">
        <v>7467</v>
      </c>
      <c r="J2921" s="1" t="s">
        <v>1332</v>
      </c>
      <c r="L2921" s="1" t="s">
        <v>901</v>
      </c>
      <c r="N2921" s="1" t="s">
        <v>6519</v>
      </c>
      <c r="P2921" s="1" t="s">
        <v>6520</v>
      </c>
      <c r="Q2921" s="3">
        <v>1</v>
      </c>
      <c r="S2921" s="23" t="s">
        <v>5949</v>
      </c>
      <c r="T2921" s="23" t="s">
        <v>4929</v>
      </c>
      <c r="U2921" s="3">
        <v>34</v>
      </c>
      <c r="V2921" s="3" t="s">
        <v>6521</v>
      </c>
      <c r="W2921" s="45" t="str">
        <f>HYPERLINK("http://ictvonline.org/taxonomy/p/taxonomy-history?taxnode_id=201856342","ICTVonline=201856342")</f>
        <v>ICTVonline=201856342</v>
      </c>
      <c r="AA2921" s="1">
        <v>201850000</v>
      </c>
      <c r="AB2921" s="1">
        <v>34</v>
      </c>
    </row>
    <row r="2922" spans="1:28" x14ac:dyDescent="0.15">
      <c r="A2922" s="1">
        <v>7471</v>
      </c>
      <c r="J2922" s="1" t="s">
        <v>1332</v>
      </c>
      <c r="L2922" s="1" t="s">
        <v>901</v>
      </c>
      <c r="N2922" s="1" t="s">
        <v>3107</v>
      </c>
      <c r="P2922" s="1" t="s">
        <v>3108</v>
      </c>
      <c r="Q2922" s="3">
        <v>1</v>
      </c>
      <c r="S2922" s="23" t="s">
        <v>5949</v>
      </c>
      <c r="W2922" s="45" t="str">
        <f>HYPERLINK("http://ictvonline.org/taxonomy/p/taxonomy-history?taxnode_id=201850854","ICTVonline=201850854")</f>
        <v>ICTVonline=201850854</v>
      </c>
      <c r="AA2922" s="1">
        <v>201850000</v>
      </c>
      <c r="AB2922" s="1">
        <v>34</v>
      </c>
    </row>
    <row r="2923" spans="1:28" x14ac:dyDescent="0.15">
      <c r="A2923" s="1">
        <v>7473</v>
      </c>
      <c r="J2923" s="1" t="s">
        <v>1332</v>
      </c>
      <c r="L2923" s="1" t="s">
        <v>901</v>
      </c>
      <c r="N2923" s="1" t="s">
        <v>3107</v>
      </c>
      <c r="P2923" s="1" t="s">
        <v>3109</v>
      </c>
      <c r="Q2923" s="3">
        <v>0</v>
      </c>
      <c r="S2923" s="23" t="s">
        <v>5949</v>
      </c>
      <c r="W2923" s="45" t="str">
        <f>HYPERLINK("http://ictvonline.org/taxonomy/p/taxonomy-history?taxnode_id=201850855","ICTVonline=201850855")</f>
        <v>ICTVonline=201850855</v>
      </c>
      <c r="AA2923" s="1">
        <v>201850000</v>
      </c>
      <c r="AB2923" s="1">
        <v>34</v>
      </c>
    </row>
    <row r="2924" spans="1:28" x14ac:dyDescent="0.15">
      <c r="A2924" s="1">
        <v>7475</v>
      </c>
      <c r="J2924" s="1" t="s">
        <v>1332</v>
      </c>
      <c r="L2924" s="1" t="s">
        <v>901</v>
      </c>
      <c r="N2924" s="1" t="s">
        <v>3107</v>
      </c>
      <c r="P2924" s="1" t="s">
        <v>3111</v>
      </c>
      <c r="Q2924" s="3">
        <v>0</v>
      </c>
      <c r="S2924" s="23" t="s">
        <v>5949</v>
      </c>
      <c r="W2924" s="45" t="str">
        <f>HYPERLINK("http://ictvonline.org/taxonomy/p/taxonomy-history?taxnode_id=201850856","ICTVonline=201850856")</f>
        <v>ICTVonline=201850856</v>
      </c>
      <c r="AA2924" s="1">
        <v>201850000</v>
      </c>
      <c r="AB2924" s="1">
        <v>34</v>
      </c>
    </row>
    <row r="2925" spans="1:28" x14ac:dyDescent="0.15">
      <c r="A2925" s="1">
        <v>7479</v>
      </c>
      <c r="J2925" s="1" t="s">
        <v>1332</v>
      </c>
      <c r="L2925" s="1" t="s">
        <v>901</v>
      </c>
      <c r="N2925" s="1" t="s">
        <v>6522</v>
      </c>
      <c r="P2925" s="1" t="s">
        <v>6523</v>
      </c>
      <c r="Q2925" s="3">
        <v>1</v>
      </c>
      <c r="S2925" s="23" t="s">
        <v>5949</v>
      </c>
      <c r="T2925" s="23" t="s">
        <v>4929</v>
      </c>
      <c r="U2925" s="3">
        <v>34</v>
      </c>
      <c r="V2925" s="3" t="s">
        <v>6524</v>
      </c>
      <c r="W2925" s="45" t="str">
        <f>HYPERLINK("http://ictvonline.org/taxonomy/p/taxonomy-history?taxnode_id=201857091","ICTVonline=201857091")</f>
        <v>ICTVonline=201857091</v>
      </c>
      <c r="AA2925" s="1">
        <v>201850000</v>
      </c>
      <c r="AB2925" s="1">
        <v>34</v>
      </c>
    </row>
    <row r="2926" spans="1:28" x14ac:dyDescent="0.15">
      <c r="A2926" s="1">
        <v>7481</v>
      </c>
      <c r="J2926" s="1" t="s">
        <v>1332</v>
      </c>
      <c r="L2926" s="1" t="s">
        <v>901</v>
      </c>
      <c r="N2926" s="1" t="s">
        <v>6522</v>
      </c>
      <c r="P2926" s="1" t="s">
        <v>6525</v>
      </c>
      <c r="Q2926" s="3">
        <v>0</v>
      </c>
      <c r="S2926" s="23" t="s">
        <v>5949</v>
      </c>
      <c r="T2926" s="23" t="s">
        <v>4929</v>
      </c>
      <c r="U2926" s="3">
        <v>34</v>
      </c>
      <c r="V2926" s="3" t="s">
        <v>6524</v>
      </c>
      <c r="W2926" s="45" t="str">
        <f>HYPERLINK("http://ictvonline.org/taxonomy/p/taxonomy-history?taxnode_id=201857094","ICTVonline=201857094")</f>
        <v>ICTVonline=201857094</v>
      </c>
      <c r="AA2926" s="1">
        <v>201850000</v>
      </c>
      <c r="AB2926" s="1">
        <v>34</v>
      </c>
    </row>
    <row r="2927" spans="1:28" x14ac:dyDescent="0.15">
      <c r="A2927" s="1">
        <v>7483</v>
      </c>
      <c r="J2927" s="1" t="s">
        <v>1332</v>
      </c>
      <c r="L2927" s="1" t="s">
        <v>901</v>
      </c>
      <c r="N2927" s="1" t="s">
        <v>6522</v>
      </c>
      <c r="P2927" s="1" t="s">
        <v>6526</v>
      </c>
      <c r="Q2927" s="3">
        <v>0</v>
      </c>
      <c r="S2927" s="23" t="s">
        <v>5949</v>
      </c>
      <c r="T2927" s="23" t="s">
        <v>4929</v>
      </c>
      <c r="U2927" s="3">
        <v>34</v>
      </c>
      <c r="V2927" s="3" t="s">
        <v>6524</v>
      </c>
      <c r="W2927" s="45" t="str">
        <f>HYPERLINK("http://ictvonline.org/taxonomy/p/taxonomy-history?taxnode_id=201857092","ICTVonline=201857092")</f>
        <v>ICTVonline=201857092</v>
      </c>
      <c r="AA2927" s="1">
        <v>201850000</v>
      </c>
      <c r="AB2927" s="1">
        <v>34</v>
      </c>
    </row>
    <row r="2928" spans="1:28" x14ac:dyDescent="0.15">
      <c r="A2928" s="1">
        <v>7485</v>
      </c>
      <c r="J2928" s="1" t="s">
        <v>1332</v>
      </c>
      <c r="L2928" s="1" t="s">
        <v>901</v>
      </c>
      <c r="N2928" s="1" t="s">
        <v>6522</v>
      </c>
      <c r="P2928" s="1" t="s">
        <v>6527</v>
      </c>
      <c r="Q2928" s="3">
        <v>0</v>
      </c>
      <c r="S2928" s="23" t="s">
        <v>5949</v>
      </c>
      <c r="T2928" s="23" t="s">
        <v>4929</v>
      </c>
      <c r="U2928" s="3">
        <v>34</v>
      </c>
      <c r="V2928" s="3" t="s">
        <v>6524</v>
      </c>
      <c r="W2928" s="45" t="str">
        <f>HYPERLINK("http://ictvonline.org/taxonomy/p/taxonomy-history?taxnode_id=201857093","ICTVonline=201857093")</f>
        <v>ICTVonline=201857093</v>
      </c>
      <c r="AA2928" s="1">
        <v>201850000</v>
      </c>
      <c r="AB2928" s="1">
        <v>34</v>
      </c>
    </row>
    <row r="2929" spans="1:28" x14ac:dyDescent="0.15">
      <c r="A2929" s="1">
        <v>7489</v>
      </c>
      <c r="J2929" s="1" t="s">
        <v>1332</v>
      </c>
      <c r="L2929" s="1" t="s">
        <v>901</v>
      </c>
      <c r="N2929" s="1" t="s">
        <v>6528</v>
      </c>
      <c r="P2929" s="1" t="s">
        <v>6529</v>
      </c>
      <c r="Q2929" s="3">
        <v>1</v>
      </c>
      <c r="S2929" s="23" t="s">
        <v>5949</v>
      </c>
      <c r="T2929" s="23" t="s">
        <v>4929</v>
      </c>
      <c r="U2929" s="3">
        <v>34</v>
      </c>
      <c r="V2929" s="3" t="s">
        <v>6530</v>
      </c>
      <c r="W2929" s="45" t="str">
        <f>HYPERLINK("http://ictvonline.org/taxonomy/p/taxonomy-history?taxnode_id=201856394","ICTVonline=201856394")</f>
        <v>ICTVonline=201856394</v>
      </c>
      <c r="AA2929" s="1">
        <v>201850000</v>
      </c>
      <c r="AB2929" s="1">
        <v>34</v>
      </c>
    </row>
    <row r="2930" spans="1:28" x14ac:dyDescent="0.15">
      <c r="A2930" s="1">
        <v>7493</v>
      </c>
      <c r="J2930" s="1" t="s">
        <v>1332</v>
      </c>
      <c r="L2930" s="1" t="s">
        <v>901</v>
      </c>
      <c r="N2930" s="1" t="s">
        <v>6531</v>
      </c>
      <c r="P2930" s="1" t="s">
        <v>4358</v>
      </c>
      <c r="Q2930" s="3">
        <v>1</v>
      </c>
      <c r="S2930" s="23" t="s">
        <v>5949</v>
      </c>
      <c r="T2930" s="23" t="s">
        <v>4931</v>
      </c>
      <c r="U2930" s="3">
        <v>34</v>
      </c>
      <c r="W2930" s="45" t="str">
        <f>HYPERLINK("http://ictvonline.org/taxonomy/p/taxonomy-history?taxnode_id=201850858","ICTVonline=201850858")</f>
        <v>ICTVonline=201850858</v>
      </c>
      <c r="AA2930" s="1">
        <v>201850000</v>
      </c>
      <c r="AB2930" s="1">
        <v>34</v>
      </c>
    </row>
    <row r="2931" spans="1:28" x14ac:dyDescent="0.15">
      <c r="A2931" s="1">
        <v>7497</v>
      </c>
      <c r="J2931" s="1" t="s">
        <v>1332</v>
      </c>
      <c r="L2931" s="1" t="s">
        <v>901</v>
      </c>
      <c r="N2931" s="1" t="s">
        <v>6532</v>
      </c>
      <c r="P2931" s="1" t="s">
        <v>6533</v>
      </c>
      <c r="Q2931" s="3">
        <v>1</v>
      </c>
      <c r="S2931" s="23" t="s">
        <v>5949</v>
      </c>
      <c r="T2931" s="23" t="s">
        <v>4929</v>
      </c>
      <c r="U2931" s="3">
        <v>34</v>
      </c>
      <c r="V2931" s="3" t="s">
        <v>6534</v>
      </c>
      <c r="W2931" s="45" t="str">
        <f>HYPERLINK("http://ictvonline.org/taxonomy/p/taxonomy-history?taxnode_id=201856801","ICTVonline=201856801")</f>
        <v>ICTVonline=201856801</v>
      </c>
      <c r="AA2931" s="1">
        <v>201850000</v>
      </c>
      <c r="AB2931" s="1">
        <v>34</v>
      </c>
    </row>
    <row r="2932" spans="1:28" x14ac:dyDescent="0.15">
      <c r="A2932" s="1">
        <v>7501</v>
      </c>
      <c r="J2932" s="1" t="s">
        <v>1332</v>
      </c>
      <c r="L2932" s="1" t="s">
        <v>901</v>
      </c>
      <c r="N2932" s="1" t="s">
        <v>6535</v>
      </c>
      <c r="P2932" s="1" t="s">
        <v>6536</v>
      </c>
      <c r="Q2932" s="3">
        <v>1</v>
      </c>
      <c r="S2932" s="23" t="s">
        <v>5949</v>
      </c>
      <c r="T2932" s="23" t="s">
        <v>4929</v>
      </c>
      <c r="U2932" s="3">
        <v>34</v>
      </c>
      <c r="V2932" s="3" t="s">
        <v>6537</v>
      </c>
      <c r="W2932" s="45" t="str">
        <f>HYPERLINK("http://ictvonline.org/taxonomy/p/taxonomy-history?taxnode_id=201856724","ICTVonline=201856724")</f>
        <v>ICTVonline=201856724</v>
      </c>
      <c r="AA2932" s="1">
        <v>201850000</v>
      </c>
      <c r="AB2932" s="1">
        <v>34</v>
      </c>
    </row>
    <row r="2933" spans="1:28" x14ac:dyDescent="0.15">
      <c r="A2933" s="1">
        <v>7505</v>
      </c>
      <c r="J2933" s="1" t="s">
        <v>1332</v>
      </c>
      <c r="L2933" s="1" t="s">
        <v>901</v>
      </c>
      <c r="N2933" s="1" t="s">
        <v>3115</v>
      </c>
      <c r="P2933" s="1" t="s">
        <v>3116</v>
      </c>
      <c r="Q2933" s="3">
        <v>0</v>
      </c>
      <c r="S2933" s="23" t="s">
        <v>5949</v>
      </c>
      <c r="W2933" s="45" t="str">
        <f>HYPERLINK("http://ictvonline.org/taxonomy/p/taxonomy-history?taxnode_id=201850860","ICTVonline=201850860")</f>
        <v>ICTVonline=201850860</v>
      </c>
      <c r="AA2933" s="1">
        <v>201850000</v>
      </c>
      <c r="AB2933" s="1">
        <v>34</v>
      </c>
    </row>
    <row r="2934" spans="1:28" x14ac:dyDescent="0.15">
      <c r="A2934" s="1">
        <v>7507</v>
      </c>
      <c r="J2934" s="1" t="s">
        <v>1332</v>
      </c>
      <c r="L2934" s="1" t="s">
        <v>901</v>
      </c>
      <c r="N2934" s="1" t="s">
        <v>3115</v>
      </c>
      <c r="P2934" s="1" t="s">
        <v>3117</v>
      </c>
      <c r="Q2934" s="3">
        <v>1</v>
      </c>
      <c r="S2934" s="23" t="s">
        <v>5949</v>
      </c>
      <c r="W2934" s="45" t="str">
        <f>HYPERLINK("http://ictvonline.org/taxonomy/p/taxonomy-history?taxnode_id=201850861","ICTVonline=201850861")</f>
        <v>ICTVonline=201850861</v>
      </c>
      <c r="AA2934" s="1">
        <v>201850000</v>
      </c>
      <c r="AB2934" s="1">
        <v>34</v>
      </c>
    </row>
    <row r="2935" spans="1:28" x14ac:dyDescent="0.15">
      <c r="A2935" s="1">
        <v>7509</v>
      </c>
      <c r="J2935" s="1" t="s">
        <v>1332</v>
      </c>
      <c r="L2935" s="1" t="s">
        <v>901</v>
      </c>
      <c r="N2935" s="1" t="s">
        <v>3115</v>
      </c>
      <c r="P2935" s="1" t="s">
        <v>3118</v>
      </c>
      <c r="Q2935" s="3">
        <v>0</v>
      </c>
      <c r="S2935" s="23" t="s">
        <v>5949</v>
      </c>
      <c r="W2935" s="45" t="str">
        <f>HYPERLINK("http://ictvonline.org/taxonomy/p/taxonomy-history?taxnode_id=201850862","ICTVonline=201850862")</f>
        <v>ICTVonline=201850862</v>
      </c>
      <c r="AA2935" s="1">
        <v>201850000</v>
      </c>
      <c r="AB2935" s="1">
        <v>34</v>
      </c>
    </row>
    <row r="2936" spans="1:28" x14ac:dyDescent="0.15">
      <c r="A2936" s="1">
        <v>7513</v>
      </c>
      <c r="J2936" s="1" t="s">
        <v>1332</v>
      </c>
      <c r="L2936" s="1" t="s">
        <v>901</v>
      </c>
      <c r="N2936" s="1" t="s">
        <v>6538</v>
      </c>
      <c r="P2936" s="1" t="s">
        <v>6539</v>
      </c>
      <c r="Q2936" s="3">
        <v>1</v>
      </c>
      <c r="S2936" s="23" t="s">
        <v>5949</v>
      </c>
      <c r="T2936" s="23" t="s">
        <v>4929</v>
      </c>
      <c r="U2936" s="3">
        <v>34</v>
      </c>
      <c r="V2936" s="3" t="s">
        <v>6540</v>
      </c>
      <c r="W2936" s="45" t="str">
        <f>HYPERLINK("http://ictvonline.org/taxonomy/p/taxonomy-history?taxnode_id=201856620","ICTVonline=201856620")</f>
        <v>ICTVonline=201856620</v>
      </c>
      <c r="AA2936" s="1">
        <v>201850000</v>
      </c>
      <c r="AB2936" s="1">
        <v>34</v>
      </c>
    </row>
    <row r="2937" spans="1:28" x14ac:dyDescent="0.15">
      <c r="A2937" s="1">
        <v>7517</v>
      </c>
      <c r="J2937" s="1" t="s">
        <v>1332</v>
      </c>
      <c r="L2937" s="1" t="s">
        <v>901</v>
      </c>
      <c r="N2937" s="1" t="s">
        <v>6541</v>
      </c>
      <c r="P2937" s="1" t="s">
        <v>6542</v>
      </c>
      <c r="Q2937" s="3">
        <v>1</v>
      </c>
      <c r="S2937" s="23" t="s">
        <v>5949</v>
      </c>
      <c r="T2937" s="23" t="s">
        <v>4929</v>
      </c>
      <c r="U2937" s="3">
        <v>34</v>
      </c>
      <c r="V2937" s="3" t="s">
        <v>6543</v>
      </c>
      <c r="W2937" s="45" t="str">
        <f>HYPERLINK("http://ictvonline.org/taxonomy/p/taxonomy-history?taxnode_id=201856808","ICTVonline=201856808")</f>
        <v>ICTVonline=201856808</v>
      </c>
      <c r="AA2937" s="1">
        <v>201850000</v>
      </c>
      <c r="AB2937" s="1">
        <v>34</v>
      </c>
    </row>
    <row r="2938" spans="1:28" x14ac:dyDescent="0.15">
      <c r="A2938" s="1">
        <v>7521</v>
      </c>
      <c r="J2938" s="1" t="s">
        <v>1332</v>
      </c>
      <c r="L2938" s="1" t="s">
        <v>901</v>
      </c>
      <c r="N2938" s="1" t="s">
        <v>3119</v>
      </c>
      <c r="P2938" s="1" t="s">
        <v>3120</v>
      </c>
      <c r="Q2938" s="3">
        <v>1</v>
      </c>
      <c r="S2938" s="23" t="s">
        <v>5949</v>
      </c>
      <c r="W2938" s="45" t="str">
        <f>HYPERLINK("http://ictvonline.org/taxonomy/p/taxonomy-history?taxnode_id=201850864","ICTVonline=201850864")</f>
        <v>ICTVonline=201850864</v>
      </c>
      <c r="AA2938" s="1">
        <v>201850000</v>
      </c>
      <c r="AB2938" s="1">
        <v>34</v>
      </c>
    </row>
    <row r="2939" spans="1:28" x14ac:dyDescent="0.15">
      <c r="A2939" s="1">
        <v>7523</v>
      </c>
      <c r="J2939" s="1" t="s">
        <v>1332</v>
      </c>
      <c r="L2939" s="1" t="s">
        <v>901</v>
      </c>
      <c r="N2939" s="1" t="s">
        <v>3119</v>
      </c>
      <c r="P2939" s="1" t="s">
        <v>3121</v>
      </c>
      <c r="Q2939" s="3">
        <v>0</v>
      </c>
      <c r="S2939" s="23" t="s">
        <v>5949</v>
      </c>
      <c r="W2939" s="45" t="str">
        <f>HYPERLINK("http://ictvonline.org/taxonomy/p/taxonomy-history?taxnode_id=201850865","ICTVonline=201850865")</f>
        <v>ICTVonline=201850865</v>
      </c>
      <c r="AA2939" s="1">
        <v>201850000</v>
      </c>
      <c r="AB2939" s="1">
        <v>34</v>
      </c>
    </row>
    <row r="2940" spans="1:28" x14ac:dyDescent="0.15">
      <c r="A2940" s="1">
        <v>7525</v>
      </c>
      <c r="J2940" s="1" t="s">
        <v>1332</v>
      </c>
      <c r="L2940" s="1" t="s">
        <v>901</v>
      </c>
      <c r="N2940" s="1" t="s">
        <v>3119</v>
      </c>
      <c r="P2940" s="1" t="s">
        <v>3122</v>
      </c>
      <c r="Q2940" s="3">
        <v>0</v>
      </c>
      <c r="S2940" s="23" t="s">
        <v>5949</v>
      </c>
      <c r="V2940" s="3" t="s">
        <v>6544</v>
      </c>
      <c r="W2940" s="45" t="str">
        <f>HYPERLINK("http://ictvonline.org/taxonomy/p/taxonomy-history?taxnode_id=201850866","ICTVonline=201850866")</f>
        <v>ICTVonline=201850866</v>
      </c>
      <c r="AA2940" s="1">
        <v>201850000</v>
      </c>
      <c r="AB2940" s="1">
        <v>34</v>
      </c>
    </row>
    <row r="2941" spans="1:28" x14ac:dyDescent="0.15">
      <c r="A2941" s="1">
        <v>7527</v>
      </c>
      <c r="J2941" s="1" t="s">
        <v>1332</v>
      </c>
      <c r="L2941" s="1" t="s">
        <v>901</v>
      </c>
      <c r="N2941" s="1" t="s">
        <v>3119</v>
      </c>
      <c r="P2941" s="1" t="s">
        <v>3123</v>
      </c>
      <c r="Q2941" s="3">
        <v>0</v>
      </c>
      <c r="S2941" s="23" t="s">
        <v>5949</v>
      </c>
      <c r="W2941" s="45" t="str">
        <f>HYPERLINK("http://ictvonline.org/taxonomy/p/taxonomy-history?taxnode_id=201850867","ICTVonline=201850867")</f>
        <v>ICTVonline=201850867</v>
      </c>
      <c r="AA2941" s="1">
        <v>201850000</v>
      </c>
      <c r="AB2941" s="1">
        <v>34</v>
      </c>
    </row>
    <row r="2942" spans="1:28" x14ac:dyDescent="0.15">
      <c r="A2942" s="1">
        <v>7531</v>
      </c>
      <c r="J2942" s="1" t="s">
        <v>1332</v>
      </c>
      <c r="L2942" s="1" t="s">
        <v>901</v>
      </c>
      <c r="N2942" s="1" t="s">
        <v>6545</v>
      </c>
      <c r="P2942" s="1" t="s">
        <v>3378</v>
      </c>
      <c r="Q2942" s="3">
        <v>0</v>
      </c>
      <c r="S2942" s="23" t="s">
        <v>5949</v>
      </c>
      <c r="T2942" s="23" t="s">
        <v>4931</v>
      </c>
      <c r="U2942" s="3">
        <v>34</v>
      </c>
      <c r="W2942" s="45" t="str">
        <f>HYPERLINK("http://ictvonline.org/taxonomy/p/taxonomy-history?taxnode_id=201851267","ICTVonline=201851267")</f>
        <v>ICTVonline=201851267</v>
      </c>
      <c r="AA2942" s="1">
        <v>201850000</v>
      </c>
      <c r="AB2942" s="1">
        <v>34</v>
      </c>
    </row>
    <row r="2943" spans="1:28" x14ac:dyDescent="0.15">
      <c r="A2943" s="1">
        <v>7533</v>
      </c>
      <c r="J2943" s="1" t="s">
        <v>1332</v>
      </c>
      <c r="L2943" s="1" t="s">
        <v>901</v>
      </c>
      <c r="N2943" s="1" t="s">
        <v>6545</v>
      </c>
      <c r="P2943" s="1" t="s">
        <v>3379</v>
      </c>
      <c r="Q2943" s="3">
        <v>0</v>
      </c>
      <c r="S2943" s="23" t="s">
        <v>5949</v>
      </c>
      <c r="T2943" s="23" t="s">
        <v>4931</v>
      </c>
      <c r="U2943" s="3">
        <v>34</v>
      </c>
      <c r="W2943" s="45" t="str">
        <f>HYPERLINK("http://ictvonline.org/taxonomy/p/taxonomy-history?taxnode_id=201851268","ICTVonline=201851268")</f>
        <v>ICTVonline=201851268</v>
      </c>
      <c r="AA2943" s="1">
        <v>201850000</v>
      </c>
      <c r="AB2943" s="1">
        <v>34</v>
      </c>
    </row>
    <row r="2944" spans="1:28" x14ac:dyDescent="0.15">
      <c r="A2944" s="1">
        <v>7535</v>
      </c>
      <c r="J2944" s="1" t="s">
        <v>1332</v>
      </c>
      <c r="L2944" s="1" t="s">
        <v>901</v>
      </c>
      <c r="N2944" s="1" t="s">
        <v>6545</v>
      </c>
      <c r="P2944" s="1" t="s">
        <v>3380</v>
      </c>
      <c r="Q2944" s="3">
        <v>0</v>
      </c>
      <c r="S2944" s="23" t="s">
        <v>5949</v>
      </c>
      <c r="T2944" s="23" t="s">
        <v>4931</v>
      </c>
      <c r="U2944" s="3">
        <v>34</v>
      </c>
      <c r="W2944" s="45" t="str">
        <f>HYPERLINK("http://ictvonline.org/taxonomy/p/taxonomy-history?taxnode_id=201851269","ICTVonline=201851269")</f>
        <v>ICTVonline=201851269</v>
      </c>
      <c r="AA2944" s="1">
        <v>201850000</v>
      </c>
      <c r="AB2944" s="1">
        <v>34</v>
      </c>
    </row>
    <row r="2945" spans="1:28" x14ac:dyDescent="0.15">
      <c r="A2945" s="1">
        <v>7537</v>
      </c>
      <c r="J2945" s="1" t="s">
        <v>1332</v>
      </c>
      <c r="L2945" s="1" t="s">
        <v>901</v>
      </c>
      <c r="N2945" s="1" t="s">
        <v>6545</v>
      </c>
      <c r="P2945" s="1" t="s">
        <v>3381</v>
      </c>
      <c r="Q2945" s="3">
        <v>0</v>
      </c>
      <c r="S2945" s="23" t="s">
        <v>5949</v>
      </c>
      <c r="T2945" s="23" t="s">
        <v>4931</v>
      </c>
      <c r="U2945" s="3">
        <v>34</v>
      </c>
      <c r="W2945" s="45" t="str">
        <f>HYPERLINK("http://ictvonline.org/taxonomy/p/taxonomy-history?taxnode_id=201851270","ICTVonline=201851270")</f>
        <v>ICTVonline=201851270</v>
      </c>
      <c r="AA2945" s="1">
        <v>201850000</v>
      </c>
      <c r="AB2945" s="1">
        <v>34</v>
      </c>
    </row>
    <row r="2946" spans="1:28" x14ac:dyDescent="0.15">
      <c r="A2946" s="1">
        <v>7539</v>
      </c>
      <c r="J2946" s="1" t="s">
        <v>1332</v>
      </c>
      <c r="L2946" s="1" t="s">
        <v>901</v>
      </c>
      <c r="N2946" s="1" t="s">
        <v>6545</v>
      </c>
      <c r="P2946" s="1" t="s">
        <v>3382</v>
      </c>
      <c r="Q2946" s="3">
        <v>1</v>
      </c>
      <c r="S2946" s="23" t="s">
        <v>5949</v>
      </c>
      <c r="T2946" s="23" t="s">
        <v>4931</v>
      </c>
      <c r="U2946" s="3">
        <v>34</v>
      </c>
      <c r="W2946" s="45" t="str">
        <f>HYPERLINK("http://ictvonline.org/taxonomy/p/taxonomy-history?taxnode_id=201851271","ICTVonline=201851271")</f>
        <v>ICTVonline=201851271</v>
      </c>
      <c r="AA2946" s="1">
        <v>201850000</v>
      </c>
      <c r="AB2946" s="1">
        <v>34</v>
      </c>
    </row>
    <row r="2947" spans="1:28" x14ac:dyDescent="0.15">
      <c r="A2947" s="1">
        <v>7543</v>
      </c>
      <c r="J2947" s="1" t="s">
        <v>1332</v>
      </c>
      <c r="L2947" s="1" t="s">
        <v>901</v>
      </c>
      <c r="N2947" s="1" t="s">
        <v>6546</v>
      </c>
      <c r="P2947" s="1" t="s">
        <v>3188</v>
      </c>
      <c r="Q2947" s="3">
        <v>1</v>
      </c>
      <c r="S2947" s="23" t="s">
        <v>5949</v>
      </c>
      <c r="T2947" s="23" t="s">
        <v>4931</v>
      </c>
      <c r="U2947" s="3">
        <v>34</v>
      </c>
      <c r="W2947" s="45" t="str">
        <f>HYPERLINK("http://ictvonline.org/taxonomy/p/taxonomy-history?taxnode_id=201850945","ICTVonline=201850945")</f>
        <v>ICTVonline=201850945</v>
      </c>
      <c r="AA2947" s="1">
        <v>201850000</v>
      </c>
      <c r="AB2947" s="1">
        <v>34</v>
      </c>
    </row>
    <row r="2948" spans="1:28" x14ac:dyDescent="0.15">
      <c r="A2948" s="1">
        <v>7545</v>
      </c>
      <c r="J2948" s="1" t="s">
        <v>1332</v>
      </c>
      <c r="L2948" s="1" t="s">
        <v>901</v>
      </c>
      <c r="N2948" s="1" t="s">
        <v>6546</v>
      </c>
      <c r="P2948" s="1" t="s">
        <v>3189</v>
      </c>
      <c r="Q2948" s="3">
        <v>0</v>
      </c>
      <c r="S2948" s="23" t="s">
        <v>5949</v>
      </c>
      <c r="T2948" s="23" t="s">
        <v>4931</v>
      </c>
      <c r="U2948" s="3">
        <v>34</v>
      </c>
      <c r="W2948" s="45" t="str">
        <f>HYPERLINK("http://ictvonline.org/taxonomy/p/taxonomy-history?taxnode_id=201850946","ICTVonline=201850946")</f>
        <v>ICTVonline=201850946</v>
      </c>
      <c r="AA2948" s="1">
        <v>201850000</v>
      </c>
      <c r="AB2948" s="1">
        <v>34</v>
      </c>
    </row>
    <row r="2949" spans="1:28" x14ac:dyDescent="0.15">
      <c r="A2949" s="1">
        <v>7547</v>
      </c>
      <c r="J2949" s="1" t="s">
        <v>1332</v>
      </c>
      <c r="L2949" s="1" t="s">
        <v>901</v>
      </c>
      <c r="N2949" s="1" t="s">
        <v>6546</v>
      </c>
      <c r="P2949" s="1" t="s">
        <v>3190</v>
      </c>
      <c r="Q2949" s="3">
        <v>0</v>
      </c>
      <c r="S2949" s="23" t="s">
        <v>5949</v>
      </c>
      <c r="T2949" s="23" t="s">
        <v>4931</v>
      </c>
      <c r="U2949" s="3">
        <v>34</v>
      </c>
      <c r="W2949" s="45" t="str">
        <f>HYPERLINK("http://ictvonline.org/taxonomy/p/taxonomy-history?taxnode_id=201850947","ICTVonline=201850947")</f>
        <v>ICTVonline=201850947</v>
      </c>
      <c r="AA2949" s="1">
        <v>201850000</v>
      </c>
      <c r="AB2949" s="1">
        <v>34</v>
      </c>
    </row>
    <row r="2950" spans="1:28" x14ac:dyDescent="0.15">
      <c r="A2950" s="1">
        <v>7549</v>
      </c>
      <c r="J2950" s="1" t="s">
        <v>1332</v>
      </c>
      <c r="L2950" s="1" t="s">
        <v>901</v>
      </c>
      <c r="N2950" s="1" t="s">
        <v>6546</v>
      </c>
      <c r="P2950" s="1" t="s">
        <v>3191</v>
      </c>
      <c r="Q2950" s="3">
        <v>0</v>
      </c>
      <c r="S2950" s="23" t="s">
        <v>5949</v>
      </c>
      <c r="T2950" s="23" t="s">
        <v>4931</v>
      </c>
      <c r="U2950" s="3">
        <v>34</v>
      </c>
      <c r="W2950" s="45" t="str">
        <f>HYPERLINK("http://ictvonline.org/taxonomy/p/taxonomy-history?taxnode_id=201850948","ICTVonline=201850948")</f>
        <v>ICTVonline=201850948</v>
      </c>
      <c r="AA2950" s="1">
        <v>201850000</v>
      </c>
      <c r="AB2950" s="1">
        <v>34</v>
      </c>
    </row>
    <row r="2951" spans="1:28" x14ac:dyDescent="0.15">
      <c r="A2951" s="1">
        <v>7551</v>
      </c>
      <c r="J2951" s="1" t="s">
        <v>1332</v>
      </c>
      <c r="L2951" s="1" t="s">
        <v>901</v>
      </c>
      <c r="N2951" s="1" t="s">
        <v>6546</v>
      </c>
      <c r="P2951" s="1" t="s">
        <v>3192</v>
      </c>
      <c r="Q2951" s="3">
        <v>0</v>
      </c>
      <c r="S2951" s="23" t="s">
        <v>5949</v>
      </c>
      <c r="T2951" s="23" t="s">
        <v>4931</v>
      </c>
      <c r="U2951" s="3">
        <v>34</v>
      </c>
      <c r="W2951" s="45" t="str">
        <f>HYPERLINK("http://ictvonline.org/taxonomy/p/taxonomy-history?taxnode_id=201850949","ICTVonline=201850949")</f>
        <v>ICTVonline=201850949</v>
      </c>
      <c r="AA2951" s="1">
        <v>201850000</v>
      </c>
      <c r="AB2951" s="1">
        <v>34</v>
      </c>
    </row>
    <row r="2952" spans="1:28" x14ac:dyDescent="0.15">
      <c r="A2952" s="1">
        <v>7553</v>
      </c>
      <c r="J2952" s="1" t="s">
        <v>1332</v>
      </c>
      <c r="L2952" s="1" t="s">
        <v>901</v>
      </c>
      <c r="N2952" s="1" t="s">
        <v>6546</v>
      </c>
      <c r="P2952" s="1" t="s">
        <v>3193</v>
      </c>
      <c r="Q2952" s="3">
        <v>0</v>
      </c>
      <c r="S2952" s="23" t="s">
        <v>5949</v>
      </c>
      <c r="T2952" s="23" t="s">
        <v>4931</v>
      </c>
      <c r="U2952" s="3">
        <v>34</v>
      </c>
      <c r="W2952" s="45" t="str">
        <f>HYPERLINK("http://ictvonline.org/taxonomy/p/taxonomy-history?taxnode_id=201850950","ICTVonline=201850950")</f>
        <v>ICTVonline=201850950</v>
      </c>
      <c r="AA2952" s="1">
        <v>201850000</v>
      </c>
      <c r="AB2952" s="1">
        <v>34</v>
      </c>
    </row>
    <row r="2953" spans="1:28" x14ac:dyDescent="0.15">
      <c r="A2953" s="1">
        <v>7555</v>
      </c>
      <c r="J2953" s="1" t="s">
        <v>1332</v>
      </c>
      <c r="L2953" s="1" t="s">
        <v>901</v>
      </c>
      <c r="N2953" s="1" t="s">
        <v>6546</v>
      </c>
      <c r="P2953" s="1" t="s">
        <v>3194</v>
      </c>
      <c r="Q2953" s="3">
        <v>0</v>
      </c>
      <c r="S2953" s="23" t="s">
        <v>5949</v>
      </c>
      <c r="T2953" s="23" t="s">
        <v>4931</v>
      </c>
      <c r="U2953" s="3">
        <v>34</v>
      </c>
      <c r="W2953" s="45" t="str">
        <f>HYPERLINK("http://ictvonline.org/taxonomy/p/taxonomy-history?taxnode_id=201850951","ICTVonline=201850951")</f>
        <v>ICTVonline=201850951</v>
      </c>
      <c r="AA2953" s="1">
        <v>201850000</v>
      </c>
      <c r="AB2953" s="1">
        <v>34</v>
      </c>
    </row>
    <row r="2954" spans="1:28" x14ac:dyDescent="0.15">
      <c r="A2954" s="1">
        <v>7557</v>
      </c>
      <c r="J2954" s="1" t="s">
        <v>1332</v>
      </c>
      <c r="L2954" s="1" t="s">
        <v>901</v>
      </c>
      <c r="N2954" s="1" t="s">
        <v>6546</v>
      </c>
      <c r="P2954" s="1" t="s">
        <v>3195</v>
      </c>
      <c r="Q2954" s="3">
        <v>0</v>
      </c>
      <c r="S2954" s="23" t="s">
        <v>5949</v>
      </c>
      <c r="T2954" s="23" t="s">
        <v>4931</v>
      </c>
      <c r="U2954" s="3">
        <v>34</v>
      </c>
      <c r="W2954" s="45" t="str">
        <f>HYPERLINK("http://ictvonline.org/taxonomy/p/taxonomy-history?taxnode_id=201850952","ICTVonline=201850952")</f>
        <v>ICTVonline=201850952</v>
      </c>
      <c r="AA2954" s="1">
        <v>201850000</v>
      </c>
      <c r="AB2954" s="1">
        <v>34</v>
      </c>
    </row>
    <row r="2955" spans="1:28" x14ac:dyDescent="0.15">
      <c r="A2955" s="1">
        <v>7561</v>
      </c>
      <c r="J2955" s="1" t="s">
        <v>1332</v>
      </c>
      <c r="L2955" s="1" t="s">
        <v>901</v>
      </c>
      <c r="N2955" s="1" t="s">
        <v>3131</v>
      </c>
      <c r="P2955" s="1" t="s">
        <v>3132</v>
      </c>
      <c r="Q2955" s="3">
        <v>1</v>
      </c>
      <c r="S2955" s="23" t="s">
        <v>5949</v>
      </c>
      <c r="W2955" s="45" t="str">
        <f>HYPERLINK("http://ictvonline.org/taxonomy/p/taxonomy-history?taxnode_id=201850883","ICTVonline=201850883")</f>
        <v>ICTVonline=201850883</v>
      </c>
      <c r="AA2955" s="1">
        <v>201850000</v>
      </c>
      <c r="AB2955" s="1">
        <v>34</v>
      </c>
    </row>
    <row r="2956" spans="1:28" x14ac:dyDescent="0.15">
      <c r="A2956" s="1">
        <v>7565</v>
      </c>
      <c r="J2956" s="1" t="s">
        <v>1332</v>
      </c>
      <c r="L2956" s="1" t="s">
        <v>901</v>
      </c>
      <c r="N2956" s="1" t="s">
        <v>3133</v>
      </c>
      <c r="P2956" s="1" t="s">
        <v>3134</v>
      </c>
      <c r="Q2956" s="3">
        <v>0</v>
      </c>
      <c r="S2956" s="23" t="s">
        <v>5949</v>
      </c>
      <c r="W2956" s="45" t="str">
        <f>HYPERLINK("http://ictvonline.org/taxonomy/p/taxonomy-history?taxnode_id=201850885","ICTVonline=201850885")</f>
        <v>ICTVonline=201850885</v>
      </c>
      <c r="AA2956" s="1">
        <v>201850000</v>
      </c>
      <c r="AB2956" s="1">
        <v>34</v>
      </c>
    </row>
    <row r="2957" spans="1:28" x14ac:dyDescent="0.15">
      <c r="A2957" s="1">
        <v>7567</v>
      </c>
      <c r="J2957" s="1" t="s">
        <v>1332</v>
      </c>
      <c r="L2957" s="1" t="s">
        <v>901</v>
      </c>
      <c r="N2957" s="1" t="s">
        <v>3133</v>
      </c>
      <c r="P2957" s="1" t="s">
        <v>3135</v>
      </c>
      <c r="Q2957" s="3">
        <v>1</v>
      </c>
      <c r="S2957" s="23" t="s">
        <v>5949</v>
      </c>
      <c r="W2957" s="45" t="str">
        <f>HYPERLINK("http://ictvonline.org/taxonomy/p/taxonomy-history?taxnode_id=201850886","ICTVonline=201850886")</f>
        <v>ICTVonline=201850886</v>
      </c>
      <c r="AA2957" s="1">
        <v>201850000</v>
      </c>
      <c r="AB2957" s="1">
        <v>34</v>
      </c>
    </row>
    <row r="2958" spans="1:28" x14ac:dyDescent="0.15">
      <c r="A2958" s="1">
        <v>7571</v>
      </c>
      <c r="J2958" s="1" t="s">
        <v>1332</v>
      </c>
      <c r="L2958" s="1" t="s">
        <v>901</v>
      </c>
      <c r="N2958" s="1" t="s">
        <v>6547</v>
      </c>
      <c r="P2958" s="1" t="s">
        <v>3124</v>
      </c>
      <c r="Q2958" s="3">
        <v>0</v>
      </c>
      <c r="S2958" s="23" t="s">
        <v>5949</v>
      </c>
      <c r="T2958" s="23" t="s">
        <v>4931</v>
      </c>
      <c r="U2958" s="3">
        <v>34</v>
      </c>
      <c r="W2958" s="45" t="str">
        <f>HYPERLINK("http://ictvonline.org/taxonomy/p/taxonomy-history?taxnode_id=201850869","ICTVonline=201850869")</f>
        <v>ICTVonline=201850869</v>
      </c>
      <c r="AA2958" s="1">
        <v>201850000</v>
      </c>
      <c r="AB2958" s="1">
        <v>34</v>
      </c>
    </row>
    <row r="2959" spans="1:28" x14ac:dyDescent="0.15">
      <c r="A2959" s="1">
        <v>7573</v>
      </c>
      <c r="J2959" s="1" t="s">
        <v>1332</v>
      </c>
      <c r="L2959" s="1" t="s">
        <v>901</v>
      </c>
      <c r="N2959" s="1" t="s">
        <v>6547</v>
      </c>
      <c r="P2959" s="1" t="s">
        <v>3125</v>
      </c>
      <c r="Q2959" s="3">
        <v>1</v>
      </c>
      <c r="S2959" s="23" t="s">
        <v>5949</v>
      </c>
      <c r="T2959" s="23" t="s">
        <v>4931</v>
      </c>
      <c r="U2959" s="3">
        <v>34</v>
      </c>
      <c r="W2959" s="45" t="str">
        <f>HYPERLINK("http://ictvonline.org/taxonomy/p/taxonomy-history?taxnode_id=201850870","ICTVonline=201850870")</f>
        <v>ICTVonline=201850870</v>
      </c>
      <c r="AA2959" s="1">
        <v>201850000</v>
      </c>
      <c r="AB2959" s="1">
        <v>34</v>
      </c>
    </row>
    <row r="2960" spans="1:28" x14ac:dyDescent="0.15">
      <c r="A2960" s="1">
        <v>7577</v>
      </c>
      <c r="J2960" s="1" t="s">
        <v>1332</v>
      </c>
      <c r="L2960" s="1" t="s">
        <v>901</v>
      </c>
      <c r="N2960" s="1" t="s">
        <v>6548</v>
      </c>
      <c r="P2960" s="1" t="s">
        <v>6549</v>
      </c>
      <c r="Q2960" s="3">
        <v>1</v>
      </c>
      <c r="S2960" s="23" t="s">
        <v>5949</v>
      </c>
      <c r="T2960" s="23" t="s">
        <v>4929</v>
      </c>
      <c r="U2960" s="3">
        <v>34</v>
      </c>
      <c r="V2960" s="3" t="s">
        <v>6550</v>
      </c>
      <c r="W2960" s="45" t="str">
        <f>HYPERLINK("http://ictvonline.org/taxonomy/p/taxonomy-history?taxnode_id=201856763","ICTVonline=201856763")</f>
        <v>ICTVonline=201856763</v>
      </c>
      <c r="AA2960" s="1">
        <v>201850000</v>
      </c>
      <c r="AB2960" s="1">
        <v>34</v>
      </c>
    </row>
    <row r="2961" spans="1:28" x14ac:dyDescent="0.15">
      <c r="A2961" s="1">
        <v>7579</v>
      </c>
      <c r="J2961" s="1" t="s">
        <v>1332</v>
      </c>
      <c r="L2961" s="1" t="s">
        <v>901</v>
      </c>
      <c r="N2961" s="1" t="s">
        <v>6548</v>
      </c>
      <c r="P2961" s="1" t="s">
        <v>6551</v>
      </c>
      <c r="Q2961" s="3">
        <v>0</v>
      </c>
      <c r="S2961" s="23" t="s">
        <v>5949</v>
      </c>
      <c r="T2961" s="23" t="s">
        <v>4929</v>
      </c>
      <c r="U2961" s="3">
        <v>34</v>
      </c>
      <c r="V2961" s="3" t="s">
        <v>6550</v>
      </c>
      <c r="W2961" s="45" t="str">
        <f>HYPERLINK("http://ictvonline.org/taxonomy/p/taxonomy-history?taxnode_id=201856765","ICTVonline=201856765")</f>
        <v>ICTVonline=201856765</v>
      </c>
      <c r="AA2961" s="1">
        <v>201850000</v>
      </c>
      <c r="AB2961" s="1">
        <v>34</v>
      </c>
    </row>
    <row r="2962" spans="1:28" x14ac:dyDescent="0.15">
      <c r="A2962" s="1">
        <v>7581</v>
      </c>
      <c r="J2962" s="1" t="s">
        <v>1332</v>
      </c>
      <c r="L2962" s="1" t="s">
        <v>901</v>
      </c>
      <c r="N2962" s="1" t="s">
        <v>6548</v>
      </c>
      <c r="P2962" s="1" t="s">
        <v>6552</v>
      </c>
      <c r="Q2962" s="3">
        <v>0</v>
      </c>
      <c r="S2962" s="23" t="s">
        <v>5949</v>
      </c>
      <c r="T2962" s="23" t="s">
        <v>4929</v>
      </c>
      <c r="U2962" s="3">
        <v>34</v>
      </c>
      <c r="V2962" s="3" t="s">
        <v>6550</v>
      </c>
      <c r="W2962" s="45" t="str">
        <f>HYPERLINK("http://ictvonline.org/taxonomy/p/taxonomy-history?taxnode_id=201856764","ICTVonline=201856764")</f>
        <v>ICTVonline=201856764</v>
      </c>
      <c r="AA2962" s="1">
        <v>201850000</v>
      </c>
      <c r="AB2962" s="1">
        <v>34</v>
      </c>
    </row>
    <row r="2963" spans="1:28" x14ac:dyDescent="0.15">
      <c r="A2963" s="1">
        <v>7585</v>
      </c>
      <c r="J2963" s="1" t="s">
        <v>1332</v>
      </c>
      <c r="L2963" s="1" t="s">
        <v>901</v>
      </c>
      <c r="N2963" s="1" t="s">
        <v>6553</v>
      </c>
      <c r="P2963" s="1" t="s">
        <v>3126</v>
      </c>
      <c r="Q2963" s="3">
        <v>1</v>
      </c>
      <c r="S2963" s="23" t="s">
        <v>5949</v>
      </c>
      <c r="T2963" s="23" t="s">
        <v>4931</v>
      </c>
      <c r="U2963" s="3">
        <v>34</v>
      </c>
      <c r="W2963" s="45" t="str">
        <f>HYPERLINK("http://ictvonline.org/taxonomy/p/taxonomy-history?taxnode_id=201850872","ICTVonline=201850872")</f>
        <v>ICTVonline=201850872</v>
      </c>
      <c r="AA2963" s="1">
        <v>201850000</v>
      </c>
      <c r="AB2963" s="1">
        <v>34</v>
      </c>
    </row>
    <row r="2964" spans="1:28" x14ac:dyDescent="0.15">
      <c r="A2964" s="1">
        <v>7587</v>
      </c>
      <c r="J2964" s="1" t="s">
        <v>1332</v>
      </c>
      <c r="L2964" s="1" t="s">
        <v>901</v>
      </c>
      <c r="N2964" s="1" t="s">
        <v>6553</v>
      </c>
      <c r="P2964" s="1" t="s">
        <v>4359</v>
      </c>
      <c r="Q2964" s="3">
        <v>0</v>
      </c>
      <c r="S2964" s="23" t="s">
        <v>5949</v>
      </c>
      <c r="T2964" s="23" t="s">
        <v>4931</v>
      </c>
      <c r="U2964" s="3">
        <v>34</v>
      </c>
      <c r="W2964" s="45" t="str">
        <f>HYPERLINK("http://ictvonline.org/taxonomy/p/taxonomy-history?taxnode_id=201850873","ICTVonline=201850873")</f>
        <v>ICTVonline=201850873</v>
      </c>
      <c r="AA2964" s="1">
        <v>201850000</v>
      </c>
      <c r="AB2964" s="1">
        <v>34</v>
      </c>
    </row>
    <row r="2965" spans="1:28" x14ac:dyDescent="0.15">
      <c r="A2965" s="1">
        <v>7589</v>
      </c>
      <c r="J2965" s="1" t="s">
        <v>1332</v>
      </c>
      <c r="L2965" s="1" t="s">
        <v>901</v>
      </c>
      <c r="N2965" s="1" t="s">
        <v>6553</v>
      </c>
      <c r="P2965" s="1" t="s">
        <v>4360</v>
      </c>
      <c r="Q2965" s="3">
        <v>0</v>
      </c>
      <c r="S2965" s="23" t="s">
        <v>5949</v>
      </c>
      <c r="T2965" s="23" t="s">
        <v>4931</v>
      </c>
      <c r="U2965" s="3">
        <v>34</v>
      </c>
      <c r="W2965" s="45" t="str">
        <f>HYPERLINK("http://ictvonline.org/taxonomy/p/taxonomy-history?taxnode_id=201850874","ICTVonline=201850874")</f>
        <v>ICTVonline=201850874</v>
      </c>
      <c r="AA2965" s="1">
        <v>201850000</v>
      </c>
      <c r="AB2965" s="1">
        <v>34</v>
      </c>
    </row>
    <row r="2966" spans="1:28" x14ac:dyDescent="0.15">
      <c r="A2966" s="1">
        <v>7591</v>
      </c>
      <c r="J2966" s="1" t="s">
        <v>1332</v>
      </c>
      <c r="L2966" s="1" t="s">
        <v>901</v>
      </c>
      <c r="N2966" s="1" t="s">
        <v>6553</v>
      </c>
      <c r="P2966" s="1" t="s">
        <v>4361</v>
      </c>
      <c r="Q2966" s="3">
        <v>0</v>
      </c>
      <c r="S2966" s="23" t="s">
        <v>5949</v>
      </c>
      <c r="T2966" s="23" t="s">
        <v>4931</v>
      </c>
      <c r="U2966" s="3">
        <v>34</v>
      </c>
      <c r="W2966" s="45" t="str">
        <f>HYPERLINK("http://ictvonline.org/taxonomy/p/taxonomy-history?taxnode_id=201850875","ICTVonline=201850875")</f>
        <v>ICTVonline=201850875</v>
      </c>
      <c r="AA2966" s="1">
        <v>201850000</v>
      </c>
      <c r="AB2966" s="1">
        <v>34</v>
      </c>
    </row>
    <row r="2967" spans="1:28" x14ac:dyDescent="0.15">
      <c r="A2967" s="1">
        <v>7593</v>
      </c>
      <c r="J2967" s="1" t="s">
        <v>1332</v>
      </c>
      <c r="L2967" s="1" t="s">
        <v>901</v>
      </c>
      <c r="N2967" s="1" t="s">
        <v>6553</v>
      </c>
      <c r="P2967" s="1" t="s">
        <v>3127</v>
      </c>
      <c r="Q2967" s="3">
        <v>0</v>
      </c>
      <c r="S2967" s="23" t="s">
        <v>5949</v>
      </c>
      <c r="T2967" s="23" t="s">
        <v>4931</v>
      </c>
      <c r="U2967" s="3">
        <v>34</v>
      </c>
      <c r="W2967" s="45" t="str">
        <f>HYPERLINK("http://ictvonline.org/taxonomy/p/taxonomy-history?taxnode_id=201850876","ICTVonline=201850876")</f>
        <v>ICTVonline=201850876</v>
      </c>
      <c r="AA2967" s="1">
        <v>201850000</v>
      </c>
      <c r="AB2967" s="1">
        <v>34</v>
      </c>
    </row>
    <row r="2968" spans="1:28" x14ac:dyDescent="0.15">
      <c r="A2968" s="1">
        <v>7595</v>
      </c>
      <c r="J2968" s="1" t="s">
        <v>1332</v>
      </c>
      <c r="L2968" s="1" t="s">
        <v>901</v>
      </c>
      <c r="N2968" s="1" t="s">
        <v>6553</v>
      </c>
      <c r="P2968" s="1" t="s">
        <v>4362</v>
      </c>
      <c r="Q2968" s="3">
        <v>0</v>
      </c>
      <c r="S2968" s="23" t="s">
        <v>5949</v>
      </c>
      <c r="T2968" s="23" t="s">
        <v>4931</v>
      </c>
      <c r="U2968" s="3">
        <v>34</v>
      </c>
      <c r="W2968" s="45" t="str">
        <f>HYPERLINK("http://ictvonline.org/taxonomy/p/taxonomy-history?taxnode_id=201850877","ICTVonline=201850877")</f>
        <v>ICTVonline=201850877</v>
      </c>
      <c r="AA2968" s="1">
        <v>201850000</v>
      </c>
      <c r="AB2968" s="1">
        <v>34</v>
      </c>
    </row>
    <row r="2969" spans="1:28" x14ac:dyDescent="0.15">
      <c r="A2969" s="1">
        <v>7599</v>
      </c>
      <c r="J2969" s="1" t="s">
        <v>1332</v>
      </c>
      <c r="L2969" s="1" t="s">
        <v>901</v>
      </c>
      <c r="N2969" s="1" t="s">
        <v>6554</v>
      </c>
      <c r="P2969" s="1" t="s">
        <v>6555</v>
      </c>
      <c r="Q2969" s="3">
        <v>1</v>
      </c>
      <c r="S2969" s="23" t="s">
        <v>5949</v>
      </c>
      <c r="T2969" s="23" t="s">
        <v>4929</v>
      </c>
      <c r="U2969" s="3">
        <v>34</v>
      </c>
      <c r="V2969" s="3" t="s">
        <v>6556</v>
      </c>
      <c r="W2969" s="45" t="str">
        <f>HYPERLINK("http://ictvonline.org/taxonomy/p/taxonomy-history?taxnode_id=201857086","ICTVonline=201857086")</f>
        <v>ICTVonline=201857086</v>
      </c>
      <c r="AA2969" s="1">
        <v>201850000</v>
      </c>
      <c r="AB2969" s="1">
        <v>34</v>
      </c>
    </row>
    <row r="2970" spans="1:28" x14ac:dyDescent="0.15">
      <c r="A2970" s="1">
        <v>7601</v>
      </c>
      <c r="J2970" s="1" t="s">
        <v>1332</v>
      </c>
      <c r="L2970" s="1" t="s">
        <v>901</v>
      </c>
      <c r="N2970" s="1" t="s">
        <v>6554</v>
      </c>
      <c r="P2970" s="1" t="s">
        <v>6557</v>
      </c>
      <c r="Q2970" s="3">
        <v>0</v>
      </c>
      <c r="S2970" s="23" t="s">
        <v>5949</v>
      </c>
      <c r="T2970" s="23" t="s">
        <v>4929</v>
      </c>
      <c r="U2970" s="3">
        <v>34</v>
      </c>
      <c r="V2970" s="3" t="s">
        <v>6556</v>
      </c>
      <c r="W2970" s="45" t="str">
        <f>HYPERLINK("http://ictvonline.org/taxonomy/p/taxonomy-history?taxnode_id=201857088","ICTVonline=201857088")</f>
        <v>ICTVonline=201857088</v>
      </c>
      <c r="AA2970" s="1">
        <v>201850000</v>
      </c>
      <c r="AB2970" s="1">
        <v>34</v>
      </c>
    </row>
    <row r="2971" spans="1:28" x14ac:dyDescent="0.15">
      <c r="A2971" s="1">
        <v>7603</v>
      </c>
      <c r="J2971" s="1" t="s">
        <v>1332</v>
      </c>
      <c r="L2971" s="1" t="s">
        <v>901</v>
      </c>
      <c r="N2971" s="1" t="s">
        <v>6554</v>
      </c>
      <c r="P2971" s="1" t="s">
        <v>6558</v>
      </c>
      <c r="Q2971" s="3">
        <v>0</v>
      </c>
      <c r="S2971" s="23" t="s">
        <v>5949</v>
      </c>
      <c r="T2971" s="23" t="s">
        <v>4929</v>
      </c>
      <c r="U2971" s="3">
        <v>34</v>
      </c>
      <c r="V2971" s="3" t="s">
        <v>6556</v>
      </c>
      <c r="W2971" s="45" t="str">
        <f>HYPERLINK("http://ictvonline.org/taxonomy/p/taxonomy-history?taxnode_id=201857087","ICTVonline=201857087")</f>
        <v>ICTVonline=201857087</v>
      </c>
      <c r="AA2971" s="1">
        <v>201850000</v>
      </c>
      <c r="AB2971" s="1">
        <v>34</v>
      </c>
    </row>
    <row r="2972" spans="1:28" x14ac:dyDescent="0.15">
      <c r="A2972" s="1">
        <v>7607</v>
      </c>
      <c r="J2972" s="1" t="s">
        <v>1332</v>
      </c>
      <c r="L2972" s="1" t="s">
        <v>901</v>
      </c>
      <c r="N2972" s="1" t="s">
        <v>6559</v>
      </c>
      <c r="P2972" s="1" t="s">
        <v>3169</v>
      </c>
      <c r="Q2972" s="3">
        <v>1</v>
      </c>
      <c r="S2972" s="23" t="s">
        <v>5949</v>
      </c>
      <c r="T2972" s="23" t="s">
        <v>4931</v>
      </c>
      <c r="U2972" s="3">
        <v>34</v>
      </c>
      <c r="W2972" s="45" t="str">
        <f>HYPERLINK("http://ictvonline.org/taxonomy/p/taxonomy-history?taxnode_id=201850922","ICTVonline=201850922")</f>
        <v>ICTVonline=201850922</v>
      </c>
      <c r="AA2972" s="1">
        <v>201850000</v>
      </c>
      <c r="AB2972" s="1">
        <v>34</v>
      </c>
    </row>
    <row r="2973" spans="1:28" x14ac:dyDescent="0.15">
      <c r="A2973" s="1">
        <v>7609</v>
      </c>
      <c r="J2973" s="1" t="s">
        <v>1332</v>
      </c>
      <c r="L2973" s="1" t="s">
        <v>901</v>
      </c>
      <c r="N2973" s="1" t="s">
        <v>6559</v>
      </c>
      <c r="P2973" s="1" t="s">
        <v>5032</v>
      </c>
      <c r="Q2973" s="3">
        <v>0</v>
      </c>
      <c r="S2973" s="23" t="s">
        <v>5949</v>
      </c>
      <c r="T2973" s="23" t="s">
        <v>4931</v>
      </c>
      <c r="U2973" s="3">
        <v>34</v>
      </c>
      <c r="W2973" s="45" t="str">
        <f>HYPERLINK("http://ictvonline.org/taxonomy/p/taxonomy-history?taxnode_id=201855506","ICTVonline=201855506")</f>
        <v>ICTVonline=201855506</v>
      </c>
      <c r="AA2973" s="1">
        <v>201850000</v>
      </c>
      <c r="AB2973" s="1">
        <v>34</v>
      </c>
    </row>
    <row r="2974" spans="1:28" x14ac:dyDescent="0.15">
      <c r="A2974" s="1">
        <v>7613</v>
      </c>
      <c r="J2974" s="1" t="s">
        <v>1332</v>
      </c>
      <c r="L2974" s="1" t="s">
        <v>901</v>
      </c>
      <c r="N2974" s="1" t="s">
        <v>6560</v>
      </c>
      <c r="P2974" s="1" t="s">
        <v>3139</v>
      </c>
      <c r="Q2974" s="3">
        <v>0</v>
      </c>
      <c r="S2974" s="23" t="s">
        <v>5949</v>
      </c>
      <c r="T2974" s="23" t="s">
        <v>4931</v>
      </c>
      <c r="U2974" s="3">
        <v>34</v>
      </c>
      <c r="W2974" s="45" t="str">
        <f>HYPERLINK("http://ictvonline.org/taxonomy/p/taxonomy-history?taxnode_id=201850891","ICTVonline=201850891")</f>
        <v>ICTVonline=201850891</v>
      </c>
      <c r="AA2974" s="1">
        <v>201850000</v>
      </c>
      <c r="AB2974" s="1">
        <v>34</v>
      </c>
    </row>
    <row r="2975" spans="1:28" x14ac:dyDescent="0.15">
      <c r="A2975" s="1">
        <v>7615</v>
      </c>
      <c r="J2975" s="1" t="s">
        <v>1332</v>
      </c>
      <c r="L2975" s="1" t="s">
        <v>901</v>
      </c>
      <c r="N2975" s="1" t="s">
        <v>6560</v>
      </c>
      <c r="P2975" s="1" t="s">
        <v>3140</v>
      </c>
      <c r="Q2975" s="3">
        <v>0</v>
      </c>
      <c r="S2975" s="23" t="s">
        <v>5949</v>
      </c>
      <c r="T2975" s="23" t="s">
        <v>4931</v>
      </c>
      <c r="U2975" s="3">
        <v>34</v>
      </c>
      <c r="W2975" s="45" t="str">
        <f>HYPERLINK("http://ictvonline.org/taxonomy/p/taxonomy-history?taxnode_id=201850892","ICTVonline=201850892")</f>
        <v>ICTVonline=201850892</v>
      </c>
      <c r="AA2975" s="1">
        <v>201850000</v>
      </c>
      <c r="AB2975" s="1">
        <v>34</v>
      </c>
    </row>
    <row r="2976" spans="1:28" x14ac:dyDescent="0.15">
      <c r="A2976" s="1">
        <v>7617</v>
      </c>
      <c r="J2976" s="1" t="s">
        <v>1332</v>
      </c>
      <c r="L2976" s="1" t="s">
        <v>901</v>
      </c>
      <c r="N2976" s="1" t="s">
        <v>6560</v>
      </c>
      <c r="P2976" s="1" t="s">
        <v>3141</v>
      </c>
      <c r="Q2976" s="3">
        <v>0</v>
      </c>
      <c r="S2976" s="23" t="s">
        <v>5949</v>
      </c>
      <c r="T2976" s="23" t="s">
        <v>4931</v>
      </c>
      <c r="U2976" s="3">
        <v>34</v>
      </c>
      <c r="W2976" s="45" t="str">
        <f>HYPERLINK("http://ictvonline.org/taxonomy/p/taxonomy-history?taxnode_id=201850893","ICTVonline=201850893")</f>
        <v>ICTVonline=201850893</v>
      </c>
      <c r="AA2976" s="1">
        <v>201850000</v>
      </c>
      <c r="AB2976" s="1">
        <v>34</v>
      </c>
    </row>
    <row r="2977" spans="1:28" x14ac:dyDescent="0.15">
      <c r="A2977" s="1">
        <v>7619</v>
      </c>
      <c r="J2977" s="1" t="s">
        <v>1332</v>
      </c>
      <c r="L2977" s="1" t="s">
        <v>901</v>
      </c>
      <c r="N2977" s="1" t="s">
        <v>6560</v>
      </c>
      <c r="P2977" s="1" t="s">
        <v>3142</v>
      </c>
      <c r="Q2977" s="3">
        <v>1</v>
      </c>
      <c r="S2977" s="23" t="s">
        <v>5949</v>
      </c>
      <c r="T2977" s="23" t="s">
        <v>4931</v>
      </c>
      <c r="U2977" s="3">
        <v>34</v>
      </c>
      <c r="W2977" s="45" t="str">
        <f>HYPERLINK("http://ictvonline.org/taxonomy/p/taxonomy-history?taxnode_id=201850894","ICTVonline=201850894")</f>
        <v>ICTVonline=201850894</v>
      </c>
      <c r="AA2977" s="1">
        <v>201850000</v>
      </c>
      <c r="AB2977" s="1">
        <v>34</v>
      </c>
    </row>
    <row r="2978" spans="1:28" x14ac:dyDescent="0.15">
      <c r="A2978" s="1">
        <v>7621</v>
      </c>
      <c r="J2978" s="1" t="s">
        <v>1332</v>
      </c>
      <c r="L2978" s="1" t="s">
        <v>901</v>
      </c>
      <c r="N2978" s="1" t="s">
        <v>6560</v>
      </c>
      <c r="P2978" s="1" t="s">
        <v>3143</v>
      </c>
      <c r="Q2978" s="3">
        <v>0</v>
      </c>
      <c r="S2978" s="23" t="s">
        <v>5949</v>
      </c>
      <c r="T2978" s="23" t="s">
        <v>4931</v>
      </c>
      <c r="U2978" s="3">
        <v>34</v>
      </c>
      <c r="W2978" s="45" t="str">
        <f>HYPERLINK("http://ictvonline.org/taxonomy/p/taxonomy-history?taxnode_id=201850895","ICTVonline=201850895")</f>
        <v>ICTVonline=201850895</v>
      </c>
      <c r="AA2978" s="1">
        <v>201850000</v>
      </c>
      <c r="AB2978" s="1">
        <v>34</v>
      </c>
    </row>
    <row r="2979" spans="1:28" x14ac:dyDescent="0.15">
      <c r="A2979" s="1">
        <v>7623</v>
      </c>
      <c r="J2979" s="1" t="s">
        <v>1332</v>
      </c>
      <c r="L2979" s="1" t="s">
        <v>901</v>
      </c>
      <c r="N2979" s="1" t="s">
        <v>6560</v>
      </c>
      <c r="P2979" s="1" t="s">
        <v>3144</v>
      </c>
      <c r="Q2979" s="3">
        <v>0</v>
      </c>
      <c r="S2979" s="23" t="s">
        <v>5949</v>
      </c>
      <c r="T2979" s="23" t="s">
        <v>4931</v>
      </c>
      <c r="U2979" s="3">
        <v>34</v>
      </c>
      <c r="W2979" s="45" t="str">
        <f>HYPERLINK("http://ictvonline.org/taxonomy/p/taxonomy-history?taxnode_id=201850896","ICTVonline=201850896")</f>
        <v>ICTVonline=201850896</v>
      </c>
      <c r="AA2979" s="1">
        <v>201850000</v>
      </c>
      <c r="AB2979" s="1">
        <v>34</v>
      </c>
    </row>
    <row r="2980" spans="1:28" x14ac:dyDescent="0.15">
      <c r="A2980" s="1">
        <v>7625</v>
      </c>
      <c r="J2980" s="1" t="s">
        <v>1332</v>
      </c>
      <c r="L2980" s="1" t="s">
        <v>901</v>
      </c>
      <c r="N2980" s="1" t="s">
        <v>6560</v>
      </c>
      <c r="P2980" s="1" t="s">
        <v>3145</v>
      </c>
      <c r="Q2980" s="3">
        <v>0</v>
      </c>
      <c r="S2980" s="23" t="s">
        <v>5949</v>
      </c>
      <c r="T2980" s="23" t="s">
        <v>4931</v>
      </c>
      <c r="U2980" s="3">
        <v>34</v>
      </c>
      <c r="V2980" s="3" t="s">
        <v>6561</v>
      </c>
      <c r="W2980" s="45" t="str">
        <f>HYPERLINK("http://ictvonline.org/taxonomy/p/taxonomy-history?taxnode_id=201850897","ICTVonline=201850897")</f>
        <v>ICTVonline=201850897</v>
      </c>
      <c r="AA2980" s="1">
        <v>201850000</v>
      </c>
      <c r="AB2980" s="1">
        <v>34</v>
      </c>
    </row>
    <row r="2981" spans="1:28" x14ac:dyDescent="0.15">
      <c r="A2981" s="1">
        <v>7627</v>
      </c>
      <c r="J2981" s="1" t="s">
        <v>1332</v>
      </c>
      <c r="L2981" s="1" t="s">
        <v>901</v>
      </c>
      <c r="N2981" s="1" t="s">
        <v>6560</v>
      </c>
      <c r="P2981" s="1" t="s">
        <v>3146</v>
      </c>
      <c r="Q2981" s="3">
        <v>0</v>
      </c>
      <c r="S2981" s="23" t="s">
        <v>5949</v>
      </c>
      <c r="T2981" s="23" t="s">
        <v>4931</v>
      </c>
      <c r="U2981" s="3">
        <v>34</v>
      </c>
      <c r="W2981" s="45" t="str">
        <f>HYPERLINK("http://ictvonline.org/taxonomy/p/taxonomy-history?taxnode_id=201850898","ICTVonline=201850898")</f>
        <v>ICTVonline=201850898</v>
      </c>
      <c r="AA2981" s="1">
        <v>201850000</v>
      </c>
      <c r="AB2981" s="1">
        <v>34</v>
      </c>
    </row>
    <row r="2982" spans="1:28" x14ac:dyDescent="0.15">
      <c r="A2982" s="1">
        <v>7629</v>
      </c>
      <c r="J2982" s="1" t="s">
        <v>1332</v>
      </c>
      <c r="L2982" s="1" t="s">
        <v>901</v>
      </c>
      <c r="N2982" s="1" t="s">
        <v>6560</v>
      </c>
      <c r="P2982" s="1" t="s">
        <v>3147</v>
      </c>
      <c r="Q2982" s="3">
        <v>0</v>
      </c>
      <c r="S2982" s="23" t="s">
        <v>5949</v>
      </c>
      <c r="T2982" s="23" t="s">
        <v>4931</v>
      </c>
      <c r="U2982" s="3">
        <v>34</v>
      </c>
      <c r="W2982" s="45" t="str">
        <f>HYPERLINK("http://ictvonline.org/taxonomy/p/taxonomy-history?taxnode_id=201850899","ICTVonline=201850899")</f>
        <v>ICTVonline=201850899</v>
      </c>
      <c r="AA2982" s="1">
        <v>201850000</v>
      </c>
      <c r="AB2982" s="1">
        <v>34</v>
      </c>
    </row>
    <row r="2983" spans="1:28" x14ac:dyDescent="0.15">
      <c r="A2983" s="1">
        <v>7631</v>
      </c>
      <c r="J2983" s="1" t="s">
        <v>1332</v>
      </c>
      <c r="L2983" s="1" t="s">
        <v>901</v>
      </c>
      <c r="N2983" s="1" t="s">
        <v>6560</v>
      </c>
      <c r="P2983" s="1" t="s">
        <v>3148</v>
      </c>
      <c r="Q2983" s="3">
        <v>0</v>
      </c>
      <c r="S2983" s="23" t="s">
        <v>5949</v>
      </c>
      <c r="T2983" s="23" t="s">
        <v>4931</v>
      </c>
      <c r="U2983" s="3">
        <v>34</v>
      </c>
      <c r="W2983" s="45" t="str">
        <f>HYPERLINK("http://ictvonline.org/taxonomy/p/taxonomy-history?taxnode_id=201850900","ICTVonline=201850900")</f>
        <v>ICTVonline=201850900</v>
      </c>
      <c r="AA2983" s="1">
        <v>201850000</v>
      </c>
      <c r="AB2983" s="1">
        <v>34</v>
      </c>
    </row>
    <row r="2984" spans="1:28" x14ac:dyDescent="0.15">
      <c r="A2984" s="1">
        <v>7633</v>
      </c>
      <c r="J2984" s="1" t="s">
        <v>1332</v>
      </c>
      <c r="L2984" s="1" t="s">
        <v>901</v>
      </c>
      <c r="N2984" s="1" t="s">
        <v>6560</v>
      </c>
      <c r="P2984" s="1" t="s">
        <v>3149</v>
      </c>
      <c r="Q2984" s="3">
        <v>0</v>
      </c>
      <c r="S2984" s="23" t="s">
        <v>5949</v>
      </c>
      <c r="T2984" s="23" t="s">
        <v>4931</v>
      </c>
      <c r="U2984" s="3">
        <v>34</v>
      </c>
      <c r="W2984" s="45" t="str">
        <f>HYPERLINK("http://ictvonline.org/taxonomy/p/taxonomy-history?taxnode_id=201850901","ICTVonline=201850901")</f>
        <v>ICTVonline=201850901</v>
      </c>
      <c r="AA2984" s="1">
        <v>201850000</v>
      </c>
      <c r="AB2984" s="1">
        <v>34</v>
      </c>
    </row>
    <row r="2985" spans="1:28" x14ac:dyDescent="0.15">
      <c r="A2985" s="1">
        <v>7635</v>
      </c>
      <c r="J2985" s="1" t="s">
        <v>1332</v>
      </c>
      <c r="L2985" s="1" t="s">
        <v>901</v>
      </c>
      <c r="N2985" s="1" t="s">
        <v>6560</v>
      </c>
      <c r="P2985" s="1" t="s">
        <v>3150</v>
      </c>
      <c r="Q2985" s="3">
        <v>0</v>
      </c>
      <c r="S2985" s="23" t="s">
        <v>5949</v>
      </c>
      <c r="T2985" s="23" t="s">
        <v>4931</v>
      </c>
      <c r="U2985" s="3">
        <v>34</v>
      </c>
      <c r="W2985" s="45" t="str">
        <f>HYPERLINK("http://ictvonline.org/taxonomy/p/taxonomy-history?taxnode_id=201850902","ICTVonline=201850902")</f>
        <v>ICTVonline=201850902</v>
      </c>
      <c r="AA2985" s="1">
        <v>201850000</v>
      </c>
      <c r="AB2985" s="1">
        <v>34</v>
      </c>
    </row>
    <row r="2986" spans="1:28" x14ac:dyDescent="0.15">
      <c r="A2986" s="1">
        <v>7637</v>
      </c>
      <c r="J2986" s="1" t="s">
        <v>1332</v>
      </c>
      <c r="L2986" s="1" t="s">
        <v>901</v>
      </c>
      <c r="N2986" s="1" t="s">
        <v>6560</v>
      </c>
      <c r="P2986" s="1" t="s">
        <v>3151</v>
      </c>
      <c r="Q2986" s="3">
        <v>0</v>
      </c>
      <c r="S2986" s="23" t="s">
        <v>5949</v>
      </c>
      <c r="T2986" s="23" t="s">
        <v>4931</v>
      </c>
      <c r="U2986" s="3">
        <v>34</v>
      </c>
      <c r="W2986" s="45" t="str">
        <f>HYPERLINK("http://ictvonline.org/taxonomy/p/taxonomy-history?taxnode_id=201850903","ICTVonline=201850903")</f>
        <v>ICTVonline=201850903</v>
      </c>
      <c r="AA2986" s="1">
        <v>201850000</v>
      </c>
      <c r="AB2986" s="1">
        <v>34</v>
      </c>
    </row>
    <row r="2987" spans="1:28" x14ac:dyDescent="0.15">
      <c r="A2987" s="1">
        <v>7639</v>
      </c>
      <c r="J2987" s="1" t="s">
        <v>1332</v>
      </c>
      <c r="L2987" s="1" t="s">
        <v>901</v>
      </c>
      <c r="N2987" s="1" t="s">
        <v>6560</v>
      </c>
      <c r="P2987" s="1" t="s">
        <v>3152</v>
      </c>
      <c r="Q2987" s="3">
        <v>0</v>
      </c>
      <c r="S2987" s="23" t="s">
        <v>5949</v>
      </c>
      <c r="T2987" s="23" t="s">
        <v>4931</v>
      </c>
      <c r="U2987" s="3">
        <v>34</v>
      </c>
      <c r="W2987" s="45" t="str">
        <f>HYPERLINK("http://ictvonline.org/taxonomy/p/taxonomy-history?taxnode_id=201850904","ICTVonline=201850904")</f>
        <v>ICTVonline=201850904</v>
      </c>
      <c r="AA2987" s="1">
        <v>201850000</v>
      </c>
      <c r="AB2987" s="1">
        <v>34</v>
      </c>
    </row>
    <row r="2988" spans="1:28" x14ac:dyDescent="0.15">
      <c r="A2988" s="1">
        <v>7641</v>
      </c>
      <c r="J2988" s="1" t="s">
        <v>1332</v>
      </c>
      <c r="L2988" s="1" t="s">
        <v>901</v>
      </c>
      <c r="N2988" s="1" t="s">
        <v>6560</v>
      </c>
      <c r="P2988" s="1" t="s">
        <v>3153</v>
      </c>
      <c r="Q2988" s="3">
        <v>0</v>
      </c>
      <c r="S2988" s="23" t="s">
        <v>5949</v>
      </c>
      <c r="T2988" s="23" t="s">
        <v>4931</v>
      </c>
      <c r="U2988" s="3">
        <v>34</v>
      </c>
      <c r="W2988" s="45" t="str">
        <f>HYPERLINK("http://ictvonline.org/taxonomy/p/taxonomy-history?taxnode_id=201850905","ICTVonline=201850905")</f>
        <v>ICTVonline=201850905</v>
      </c>
      <c r="AA2988" s="1">
        <v>201850000</v>
      </c>
      <c r="AB2988" s="1">
        <v>34</v>
      </c>
    </row>
    <row r="2989" spans="1:28" x14ac:dyDescent="0.15">
      <c r="A2989" s="1">
        <v>7643</v>
      </c>
      <c r="J2989" s="1" t="s">
        <v>1332</v>
      </c>
      <c r="L2989" s="1" t="s">
        <v>901</v>
      </c>
      <c r="N2989" s="1" t="s">
        <v>6560</v>
      </c>
      <c r="P2989" s="1" t="s">
        <v>3154</v>
      </c>
      <c r="Q2989" s="3">
        <v>0</v>
      </c>
      <c r="S2989" s="23" t="s">
        <v>5949</v>
      </c>
      <c r="T2989" s="23" t="s">
        <v>4931</v>
      </c>
      <c r="U2989" s="3">
        <v>34</v>
      </c>
      <c r="W2989" s="45" t="str">
        <f>HYPERLINK("http://ictvonline.org/taxonomy/p/taxonomy-history?taxnode_id=201850906","ICTVonline=201850906")</f>
        <v>ICTVonline=201850906</v>
      </c>
      <c r="AA2989" s="1">
        <v>201850000</v>
      </c>
      <c r="AB2989" s="1">
        <v>34</v>
      </c>
    </row>
    <row r="2990" spans="1:28" x14ac:dyDescent="0.15">
      <c r="A2990" s="1">
        <v>7645</v>
      </c>
      <c r="J2990" s="1" t="s">
        <v>1332</v>
      </c>
      <c r="L2990" s="1" t="s">
        <v>901</v>
      </c>
      <c r="N2990" s="1" t="s">
        <v>6560</v>
      </c>
      <c r="P2990" s="1" t="s">
        <v>3155</v>
      </c>
      <c r="Q2990" s="3">
        <v>0</v>
      </c>
      <c r="S2990" s="23" t="s">
        <v>5949</v>
      </c>
      <c r="T2990" s="23" t="s">
        <v>4931</v>
      </c>
      <c r="U2990" s="3">
        <v>34</v>
      </c>
      <c r="W2990" s="45" t="str">
        <f>HYPERLINK("http://ictvonline.org/taxonomy/p/taxonomy-history?taxnode_id=201850907","ICTVonline=201850907")</f>
        <v>ICTVonline=201850907</v>
      </c>
      <c r="AA2990" s="1">
        <v>201850000</v>
      </c>
      <c r="AB2990" s="1">
        <v>34</v>
      </c>
    </row>
    <row r="2991" spans="1:28" x14ac:dyDescent="0.15">
      <c r="A2991" s="1">
        <v>7647</v>
      </c>
      <c r="J2991" s="1" t="s">
        <v>1332</v>
      </c>
      <c r="L2991" s="1" t="s">
        <v>901</v>
      </c>
      <c r="N2991" s="1" t="s">
        <v>6560</v>
      </c>
      <c r="P2991" s="1" t="s">
        <v>3156</v>
      </c>
      <c r="Q2991" s="3">
        <v>0</v>
      </c>
      <c r="S2991" s="23" t="s">
        <v>5949</v>
      </c>
      <c r="T2991" s="23" t="s">
        <v>4931</v>
      </c>
      <c r="U2991" s="3">
        <v>34</v>
      </c>
      <c r="W2991" s="45" t="str">
        <f>HYPERLINK("http://ictvonline.org/taxonomy/p/taxonomy-history?taxnode_id=201850908","ICTVonline=201850908")</f>
        <v>ICTVonline=201850908</v>
      </c>
      <c r="AA2991" s="1">
        <v>201850000</v>
      </c>
      <c r="AB2991" s="1">
        <v>34</v>
      </c>
    </row>
    <row r="2992" spans="1:28" x14ac:dyDescent="0.15">
      <c r="A2992" s="1">
        <v>7649</v>
      </c>
      <c r="J2992" s="1" t="s">
        <v>1332</v>
      </c>
      <c r="L2992" s="1" t="s">
        <v>901</v>
      </c>
      <c r="N2992" s="1" t="s">
        <v>6560</v>
      </c>
      <c r="P2992" s="1" t="s">
        <v>3157</v>
      </c>
      <c r="Q2992" s="3">
        <v>0</v>
      </c>
      <c r="S2992" s="23" t="s">
        <v>5949</v>
      </c>
      <c r="T2992" s="23" t="s">
        <v>4931</v>
      </c>
      <c r="U2992" s="3">
        <v>34</v>
      </c>
      <c r="W2992" s="45" t="str">
        <f>HYPERLINK("http://ictvonline.org/taxonomy/p/taxonomy-history?taxnode_id=201850909","ICTVonline=201850909")</f>
        <v>ICTVonline=201850909</v>
      </c>
      <c r="AA2992" s="1">
        <v>201850000</v>
      </c>
      <c r="AB2992" s="1">
        <v>34</v>
      </c>
    </row>
    <row r="2993" spans="1:28" x14ac:dyDescent="0.15">
      <c r="A2993" s="1">
        <v>7651</v>
      </c>
      <c r="J2993" s="1" t="s">
        <v>1332</v>
      </c>
      <c r="L2993" s="1" t="s">
        <v>901</v>
      </c>
      <c r="N2993" s="1" t="s">
        <v>6560</v>
      </c>
      <c r="P2993" s="1" t="s">
        <v>3158</v>
      </c>
      <c r="Q2993" s="3">
        <v>0</v>
      </c>
      <c r="S2993" s="23" t="s">
        <v>5949</v>
      </c>
      <c r="T2993" s="23" t="s">
        <v>4931</v>
      </c>
      <c r="U2993" s="3">
        <v>34</v>
      </c>
      <c r="W2993" s="45" t="str">
        <f>HYPERLINK("http://ictvonline.org/taxonomy/p/taxonomy-history?taxnode_id=201850910","ICTVonline=201850910")</f>
        <v>ICTVonline=201850910</v>
      </c>
      <c r="AA2993" s="1">
        <v>201850000</v>
      </c>
      <c r="AB2993" s="1">
        <v>34</v>
      </c>
    </row>
    <row r="2994" spans="1:28" x14ac:dyDescent="0.15">
      <c r="A2994" s="1">
        <v>7653</v>
      </c>
      <c r="J2994" s="1" t="s">
        <v>1332</v>
      </c>
      <c r="L2994" s="1" t="s">
        <v>901</v>
      </c>
      <c r="N2994" s="1" t="s">
        <v>6560</v>
      </c>
      <c r="P2994" s="1" t="s">
        <v>3159</v>
      </c>
      <c r="Q2994" s="3">
        <v>0</v>
      </c>
      <c r="S2994" s="23" t="s">
        <v>5949</v>
      </c>
      <c r="T2994" s="23" t="s">
        <v>4931</v>
      </c>
      <c r="U2994" s="3">
        <v>34</v>
      </c>
      <c r="W2994" s="45" t="str">
        <f>HYPERLINK("http://ictvonline.org/taxonomy/p/taxonomy-history?taxnode_id=201850911","ICTVonline=201850911")</f>
        <v>ICTVonline=201850911</v>
      </c>
      <c r="AA2994" s="1">
        <v>201850000</v>
      </c>
      <c r="AB2994" s="1">
        <v>34</v>
      </c>
    </row>
    <row r="2995" spans="1:28" x14ac:dyDescent="0.15">
      <c r="A2995" s="1">
        <v>7655</v>
      </c>
      <c r="J2995" s="1" t="s">
        <v>1332</v>
      </c>
      <c r="L2995" s="1" t="s">
        <v>901</v>
      </c>
      <c r="N2995" s="1" t="s">
        <v>6560</v>
      </c>
      <c r="P2995" s="1" t="s">
        <v>3160</v>
      </c>
      <c r="Q2995" s="3">
        <v>0</v>
      </c>
      <c r="S2995" s="23" t="s">
        <v>5949</v>
      </c>
      <c r="T2995" s="23" t="s">
        <v>4931</v>
      </c>
      <c r="U2995" s="3">
        <v>34</v>
      </c>
      <c r="W2995" s="45" t="str">
        <f>HYPERLINK("http://ictvonline.org/taxonomy/p/taxonomy-history?taxnode_id=201850912","ICTVonline=201850912")</f>
        <v>ICTVonline=201850912</v>
      </c>
      <c r="AA2995" s="1">
        <v>201850000</v>
      </c>
      <c r="AB2995" s="1">
        <v>34</v>
      </c>
    </row>
    <row r="2996" spans="1:28" x14ac:dyDescent="0.15">
      <c r="A2996" s="1">
        <v>7657</v>
      </c>
      <c r="J2996" s="1" t="s">
        <v>1332</v>
      </c>
      <c r="L2996" s="1" t="s">
        <v>901</v>
      </c>
      <c r="N2996" s="1" t="s">
        <v>6560</v>
      </c>
      <c r="P2996" s="1" t="s">
        <v>3161</v>
      </c>
      <c r="Q2996" s="3">
        <v>0</v>
      </c>
      <c r="S2996" s="23" t="s">
        <v>5949</v>
      </c>
      <c r="T2996" s="23" t="s">
        <v>4931</v>
      </c>
      <c r="U2996" s="3">
        <v>34</v>
      </c>
      <c r="W2996" s="45" t="str">
        <f>HYPERLINK("http://ictvonline.org/taxonomy/p/taxonomy-history?taxnode_id=201850913","ICTVonline=201850913")</f>
        <v>ICTVonline=201850913</v>
      </c>
      <c r="AA2996" s="1">
        <v>201850000</v>
      </c>
      <c r="AB2996" s="1">
        <v>34</v>
      </c>
    </row>
    <row r="2997" spans="1:28" x14ac:dyDescent="0.15">
      <c r="A2997" s="1">
        <v>7659</v>
      </c>
      <c r="J2997" s="1" t="s">
        <v>1332</v>
      </c>
      <c r="L2997" s="1" t="s">
        <v>901</v>
      </c>
      <c r="N2997" s="1" t="s">
        <v>6560</v>
      </c>
      <c r="P2997" s="1" t="s">
        <v>3162</v>
      </c>
      <c r="Q2997" s="3">
        <v>0</v>
      </c>
      <c r="S2997" s="23" t="s">
        <v>5949</v>
      </c>
      <c r="T2997" s="23" t="s">
        <v>4931</v>
      </c>
      <c r="U2997" s="3">
        <v>34</v>
      </c>
      <c r="W2997" s="45" t="str">
        <f>HYPERLINK("http://ictvonline.org/taxonomy/p/taxonomy-history?taxnode_id=201850914","ICTVonline=201850914")</f>
        <v>ICTVonline=201850914</v>
      </c>
      <c r="AA2997" s="1">
        <v>201850000</v>
      </c>
      <c r="AB2997" s="1">
        <v>34</v>
      </c>
    </row>
    <row r="2998" spans="1:28" x14ac:dyDescent="0.15">
      <c r="A2998" s="1">
        <v>7661</v>
      </c>
      <c r="J2998" s="1" t="s">
        <v>1332</v>
      </c>
      <c r="L2998" s="1" t="s">
        <v>901</v>
      </c>
      <c r="N2998" s="1" t="s">
        <v>6560</v>
      </c>
      <c r="P2998" s="1" t="s">
        <v>3163</v>
      </c>
      <c r="Q2998" s="3">
        <v>0</v>
      </c>
      <c r="S2998" s="23" t="s">
        <v>5949</v>
      </c>
      <c r="T2998" s="23" t="s">
        <v>4931</v>
      </c>
      <c r="U2998" s="3">
        <v>34</v>
      </c>
      <c r="W2998" s="45" t="str">
        <f>HYPERLINK("http://ictvonline.org/taxonomy/p/taxonomy-history?taxnode_id=201850915","ICTVonline=201850915")</f>
        <v>ICTVonline=201850915</v>
      </c>
      <c r="AA2998" s="1">
        <v>201850000</v>
      </c>
      <c r="AB2998" s="1">
        <v>34</v>
      </c>
    </row>
    <row r="2999" spans="1:28" x14ac:dyDescent="0.15">
      <c r="A2999" s="1">
        <v>7663</v>
      </c>
      <c r="J2999" s="1" t="s">
        <v>1332</v>
      </c>
      <c r="L2999" s="1" t="s">
        <v>901</v>
      </c>
      <c r="N2999" s="1" t="s">
        <v>6560</v>
      </c>
      <c r="P2999" s="1" t="s">
        <v>3164</v>
      </c>
      <c r="Q2999" s="3">
        <v>0</v>
      </c>
      <c r="S2999" s="23" t="s">
        <v>5949</v>
      </c>
      <c r="T2999" s="23" t="s">
        <v>4931</v>
      </c>
      <c r="U2999" s="3">
        <v>34</v>
      </c>
      <c r="W2999" s="45" t="str">
        <f>HYPERLINK("http://ictvonline.org/taxonomy/p/taxonomy-history?taxnode_id=201850916","ICTVonline=201850916")</f>
        <v>ICTVonline=201850916</v>
      </c>
      <c r="AA2999" s="1">
        <v>201850000</v>
      </c>
      <c r="AB2999" s="1">
        <v>34</v>
      </c>
    </row>
    <row r="3000" spans="1:28" x14ac:dyDescent="0.15">
      <c r="A3000" s="1">
        <v>7665</v>
      </c>
      <c r="J3000" s="1" t="s">
        <v>1332</v>
      </c>
      <c r="L3000" s="1" t="s">
        <v>901</v>
      </c>
      <c r="N3000" s="1" t="s">
        <v>6560</v>
      </c>
      <c r="P3000" s="1" t="s">
        <v>3165</v>
      </c>
      <c r="Q3000" s="3">
        <v>0</v>
      </c>
      <c r="S3000" s="23" t="s">
        <v>5949</v>
      </c>
      <c r="T3000" s="23" t="s">
        <v>4931</v>
      </c>
      <c r="U3000" s="3">
        <v>34</v>
      </c>
      <c r="W3000" s="45" t="str">
        <f>HYPERLINK("http://ictvonline.org/taxonomy/p/taxonomy-history?taxnode_id=201850917","ICTVonline=201850917")</f>
        <v>ICTVonline=201850917</v>
      </c>
      <c r="AA3000" s="1">
        <v>201850000</v>
      </c>
      <c r="AB3000" s="1">
        <v>34</v>
      </c>
    </row>
    <row r="3001" spans="1:28" x14ac:dyDescent="0.15">
      <c r="A3001" s="1">
        <v>7667</v>
      </c>
      <c r="J3001" s="1" t="s">
        <v>1332</v>
      </c>
      <c r="L3001" s="1" t="s">
        <v>901</v>
      </c>
      <c r="N3001" s="1" t="s">
        <v>6560</v>
      </c>
      <c r="P3001" s="1" t="s">
        <v>3166</v>
      </c>
      <c r="Q3001" s="3">
        <v>0</v>
      </c>
      <c r="S3001" s="23" t="s">
        <v>5949</v>
      </c>
      <c r="T3001" s="23" t="s">
        <v>4931</v>
      </c>
      <c r="U3001" s="3">
        <v>34</v>
      </c>
      <c r="W3001" s="45" t="str">
        <f>HYPERLINK("http://ictvonline.org/taxonomy/p/taxonomy-history?taxnode_id=201850918","ICTVonline=201850918")</f>
        <v>ICTVonline=201850918</v>
      </c>
      <c r="AA3001" s="1">
        <v>201850000</v>
      </c>
      <c r="AB3001" s="1">
        <v>34</v>
      </c>
    </row>
    <row r="3002" spans="1:28" x14ac:dyDescent="0.15">
      <c r="A3002" s="1">
        <v>7671</v>
      </c>
      <c r="J3002" s="1" t="s">
        <v>1332</v>
      </c>
      <c r="L3002" s="1" t="s">
        <v>901</v>
      </c>
      <c r="N3002" s="1" t="s">
        <v>3170</v>
      </c>
      <c r="P3002" s="1" t="s">
        <v>3171</v>
      </c>
      <c r="Q3002" s="3">
        <v>1</v>
      </c>
      <c r="S3002" s="23" t="s">
        <v>5949</v>
      </c>
      <c r="W3002" s="45" t="str">
        <f>HYPERLINK("http://ictvonline.org/taxonomy/p/taxonomy-history?taxnode_id=201850924","ICTVonline=201850924")</f>
        <v>ICTVonline=201850924</v>
      </c>
      <c r="AA3002" s="1">
        <v>201850000</v>
      </c>
      <c r="AB3002" s="1">
        <v>34</v>
      </c>
    </row>
    <row r="3003" spans="1:28" x14ac:dyDescent="0.15">
      <c r="A3003" s="1">
        <v>7673</v>
      </c>
      <c r="J3003" s="1" t="s">
        <v>1332</v>
      </c>
      <c r="L3003" s="1" t="s">
        <v>901</v>
      </c>
      <c r="N3003" s="1" t="s">
        <v>3170</v>
      </c>
      <c r="P3003" s="1" t="s">
        <v>3172</v>
      </c>
      <c r="Q3003" s="3">
        <v>0</v>
      </c>
      <c r="S3003" s="23" t="s">
        <v>5949</v>
      </c>
      <c r="W3003" s="45" t="str">
        <f>HYPERLINK("http://ictvonline.org/taxonomy/p/taxonomy-history?taxnode_id=201850925","ICTVonline=201850925")</f>
        <v>ICTVonline=201850925</v>
      </c>
      <c r="AA3003" s="1">
        <v>201850000</v>
      </c>
      <c r="AB3003" s="1">
        <v>34</v>
      </c>
    </row>
    <row r="3004" spans="1:28" x14ac:dyDescent="0.15">
      <c r="A3004" s="1">
        <v>7675</v>
      </c>
      <c r="J3004" s="1" t="s">
        <v>1332</v>
      </c>
      <c r="L3004" s="1" t="s">
        <v>901</v>
      </c>
      <c r="N3004" s="1" t="s">
        <v>3170</v>
      </c>
      <c r="P3004" s="1" t="s">
        <v>3173</v>
      </c>
      <c r="Q3004" s="3">
        <v>0</v>
      </c>
      <c r="S3004" s="23" t="s">
        <v>5949</v>
      </c>
      <c r="W3004" s="45" t="str">
        <f>HYPERLINK("http://ictvonline.org/taxonomy/p/taxonomy-history?taxnode_id=201850926","ICTVonline=201850926")</f>
        <v>ICTVonline=201850926</v>
      </c>
      <c r="AA3004" s="1">
        <v>201850000</v>
      </c>
      <c r="AB3004" s="1">
        <v>34</v>
      </c>
    </row>
    <row r="3005" spans="1:28" x14ac:dyDescent="0.15">
      <c r="A3005" s="1">
        <v>7677</v>
      </c>
      <c r="J3005" s="1" t="s">
        <v>1332</v>
      </c>
      <c r="L3005" s="1" t="s">
        <v>901</v>
      </c>
      <c r="N3005" s="1" t="s">
        <v>3170</v>
      </c>
      <c r="P3005" s="1" t="s">
        <v>3174</v>
      </c>
      <c r="Q3005" s="3">
        <v>0</v>
      </c>
      <c r="S3005" s="23" t="s">
        <v>5949</v>
      </c>
      <c r="W3005" s="45" t="str">
        <f>HYPERLINK("http://ictvonline.org/taxonomy/p/taxonomy-history?taxnode_id=201850927","ICTVonline=201850927")</f>
        <v>ICTVonline=201850927</v>
      </c>
      <c r="AA3005" s="1">
        <v>201850000</v>
      </c>
      <c r="AB3005" s="1">
        <v>34</v>
      </c>
    </row>
    <row r="3006" spans="1:28" x14ac:dyDescent="0.15">
      <c r="A3006" s="1">
        <v>7679</v>
      </c>
      <c r="J3006" s="1" t="s">
        <v>1332</v>
      </c>
      <c r="L3006" s="1" t="s">
        <v>901</v>
      </c>
      <c r="N3006" s="1" t="s">
        <v>3170</v>
      </c>
      <c r="P3006" s="1" t="s">
        <v>3175</v>
      </c>
      <c r="Q3006" s="3">
        <v>0</v>
      </c>
      <c r="S3006" s="23" t="s">
        <v>5949</v>
      </c>
      <c r="W3006" s="45" t="str">
        <f>HYPERLINK("http://ictvonline.org/taxonomy/p/taxonomy-history?taxnode_id=201850928","ICTVonline=201850928")</f>
        <v>ICTVonline=201850928</v>
      </c>
      <c r="AA3006" s="1">
        <v>201850000</v>
      </c>
      <c r="AB3006" s="1">
        <v>34</v>
      </c>
    </row>
    <row r="3007" spans="1:28" x14ac:dyDescent="0.15">
      <c r="A3007" s="1">
        <v>7683</v>
      </c>
      <c r="J3007" s="1" t="s">
        <v>1332</v>
      </c>
      <c r="L3007" s="1" t="s">
        <v>901</v>
      </c>
      <c r="N3007" s="1" t="s">
        <v>6562</v>
      </c>
      <c r="P3007" s="1" t="s">
        <v>6563</v>
      </c>
      <c r="Q3007" s="3">
        <v>1</v>
      </c>
      <c r="S3007" s="23" t="s">
        <v>5949</v>
      </c>
      <c r="T3007" s="23" t="s">
        <v>4929</v>
      </c>
      <c r="U3007" s="3">
        <v>34</v>
      </c>
      <c r="V3007" s="3" t="s">
        <v>6564</v>
      </c>
      <c r="W3007" s="45" t="str">
        <f>HYPERLINK("http://ictvonline.org/taxonomy/p/taxonomy-history?taxnode_id=201856816","ICTVonline=201856816")</f>
        <v>ICTVonline=201856816</v>
      </c>
      <c r="AA3007" s="1">
        <v>201850000</v>
      </c>
      <c r="AB3007" s="1">
        <v>34</v>
      </c>
    </row>
    <row r="3008" spans="1:28" x14ac:dyDescent="0.15">
      <c r="A3008" s="1">
        <v>7687</v>
      </c>
      <c r="J3008" s="1" t="s">
        <v>1332</v>
      </c>
      <c r="L3008" s="1" t="s">
        <v>901</v>
      </c>
      <c r="N3008" s="1" t="s">
        <v>6565</v>
      </c>
      <c r="P3008" s="1" t="s">
        <v>6566</v>
      </c>
      <c r="Q3008" s="3">
        <v>1</v>
      </c>
      <c r="S3008" s="23" t="s">
        <v>5949</v>
      </c>
      <c r="T3008" s="23" t="s">
        <v>4929</v>
      </c>
      <c r="U3008" s="3">
        <v>34</v>
      </c>
      <c r="V3008" s="3" t="s">
        <v>6567</v>
      </c>
      <c r="W3008" s="45" t="str">
        <f>HYPERLINK("http://ictvonline.org/taxonomy/p/taxonomy-history?taxnode_id=201856767","ICTVonline=201856767")</f>
        <v>ICTVonline=201856767</v>
      </c>
      <c r="AA3008" s="1">
        <v>201850000</v>
      </c>
      <c r="AB3008" s="1">
        <v>34</v>
      </c>
    </row>
    <row r="3009" spans="1:28" x14ac:dyDescent="0.15">
      <c r="A3009" s="1">
        <v>7691</v>
      </c>
      <c r="J3009" s="1" t="s">
        <v>1332</v>
      </c>
      <c r="L3009" s="1" t="s">
        <v>901</v>
      </c>
      <c r="N3009" s="1" t="s">
        <v>6568</v>
      </c>
      <c r="P3009" s="1" t="s">
        <v>6569</v>
      </c>
      <c r="Q3009" s="3">
        <v>1</v>
      </c>
      <c r="S3009" s="23" t="s">
        <v>5949</v>
      </c>
      <c r="T3009" s="23" t="s">
        <v>4929</v>
      </c>
      <c r="U3009" s="3">
        <v>34</v>
      </c>
      <c r="V3009" s="3" t="s">
        <v>6570</v>
      </c>
      <c r="W3009" s="45" t="str">
        <f>HYPERLINK("http://ictvonline.org/taxonomy/p/taxonomy-history?taxnode_id=201856733","ICTVonline=201856733")</f>
        <v>ICTVonline=201856733</v>
      </c>
      <c r="AA3009" s="1">
        <v>201850000</v>
      </c>
      <c r="AB3009" s="1">
        <v>34</v>
      </c>
    </row>
    <row r="3010" spans="1:28" x14ac:dyDescent="0.15">
      <c r="A3010" s="1">
        <v>7695</v>
      </c>
      <c r="J3010" s="1" t="s">
        <v>1332</v>
      </c>
      <c r="L3010" s="1" t="s">
        <v>901</v>
      </c>
      <c r="N3010" s="1" t="s">
        <v>6571</v>
      </c>
      <c r="P3010" s="1" t="s">
        <v>6572</v>
      </c>
      <c r="Q3010" s="3">
        <v>1</v>
      </c>
      <c r="S3010" s="23" t="s">
        <v>5949</v>
      </c>
      <c r="T3010" s="23" t="s">
        <v>4929</v>
      </c>
      <c r="U3010" s="3">
        <v>34</v>
      </c>
      <c r="V3010" s="3" t="s">
        <v>6573</v>
      </c>
      <c r="W3010" s="45" t="str">
        <f>HYPERLINK("http://ictvonline.org/taxonomy/p/taxonomy-history?taxnode_id=201856735","ICTVonline=201856735")</f>
        <v>ICTVonline=201856735</v>
      </c>
      <c r="AA3010" s="1">
        <v>201850000</v>
      </c>
      <c r="AB3010" s="1">
        <v>34</v>
      </c>
    </row>
    <row r="3011" spans="1:28" x14ac:dyDescent="0.15">
      <c r="A3011" s="1">
        <v>7699</v>
      </c>
      <c r="J3011" s="1" t="s">
        <v>1332</v>
      </c>
      <c r="L3011" s="1" t="s">
        <v>901</v>
      </c>
      <c r="N3011" s="1" t="s">
        <v>6574</v>
      </c>
      <c r="P3011" s="1" t="s">
        <v>3352</v>
      </c>
      <c r="Q3011" s="3">
        <v>0</v>
      </c>
      <c r="S3011" s="23" t="s">
        <v>5949</v>
      </c>
      <c r="T3011" s="23" t="s">
        <v>4931</v>
      </c>
      <c r="U3011" s="3">
        <v>34</v>
      </c>
      <c r="W3011" s="45" t="str">
        <f>HYPERLINK("http://ictvonline.org/taxonomy/p/taxonomy-history?taxnode_id=201851231","ICTVonline=201851231")</f>
        <v>ICTVonline=201851231</v>
      </c>
      <c r="AA3011" s="1">
        <v>201850000</v>
      </c>
      <c r="AB3011" s="1">
        <v>34</v>
      </c>
    </row>
    <row r="3012" spans="1:28" x14ac:dyDescent="0.15">
      <c r="A3012" s="1">
        <v>7701</v>
      </c>
      <c r="J3012" s="1" t="s">
        <v>1332</v>
      </c>
      <c r="L3012" s="1" t="s">
        <v>901</v>
      </c>
      <c r="N3012" s="1" t="s">
        <v>6574</v>
      </c>
      <c r="P3012" s="1" t="s">
        <v>3353</v>
      </c>
      <c r="Q3012" s="3">
        <v>1</v>
      </c>
      <c r="S3012" s="23" t="s">
        <v>5949</v>
      </c>
      <c r="T3012" s="23" t="s">
        <v>4931</v>
      </c>
      <c r="U3012" s="3">
        <v>34</v>
      </c>
      <c r="W3012" s="45" t="str">
        <f>HYPERLINK("http://ictvonline.org/taxonomy/p/taxonomy-history?taxnode_id=201851232","ICTVonline=201851232")</f>
        <v>ICTVonline=201851232</v>
      </c>
      <c r="AA3012" s="1">
        <v>201850000</v>
      </c>
      <c r="AB3012" s="1">
        <v>34</v>
      </c>
    </row>
    <row r="3013" spans="1:28" x14ac:dyDescent="0.15">
      <c r="A3013" s="1">
        <v>7703</v>
      </c>
      <c r="J3013" s="1" t="s">
        <v>1332</v>
      </c>
      <c r="L3013" s="1" t="s">
        <v>901</v>
      </c>
      <c r="N3013" s="1" t="s">
        <v>6574</v>
      </c>
      <c r="P3013" s="1" t="s">
        <v>3354</v>
      </c>
      <c r="Q3013" s="3">
        <v>0</v>
      </c>
      <c r="S3013" s="23" t="s">
        <v>5949</v>
      </c>
      <c r="T3013" s="23" t="s">
        <v>4931</v>
      </c>
      <c r="U3013" s="3">
        <v>34</v>
      </c>
      <c r="W3013" s="45" t="str">
        <f>HYPERLINK("http://ictvonline.org/taxonomy/p/taxonomy-history?taxnode_id=201851233","ICTVonline=201851233")</f>
        <v>ICTVonline=201851233</v>
      </c>
      <c r="AA3013" s="1">
        <v>201850000</v>
      </c>
      <c r="AB3013" s="1">
        <v>34</v>
      </c>
    </row>
    <row r="3014" spans="1:28" x14ac:dyDescent="0.15">
      <c r="A3014" s="1">
        <v>7707</v>
      </c>
      <c r="J3014" s="1" t="s">
        <v>1332</v>
      </c>
      <c r="L3014" s="1" t="s">
        <v>901</v>
      </c>
      <c r="N3014" s="1" t="s">
        <v>3185</v>
      </c>
      <c r="P3014" s="1" t="s">
        <v>3186</v>
      </c>
      <c r="Q3014" s="3">
        <v>1</v>
      </c>
      <c r="S3014" s="23" t="s">
        <v>5949</v>
      </c>
      <c r="W3014" s="45" t="str">
        <f>HYPERLINK("http://ictvonline.org/taxonomy/p/taxonomy-history?taxnode_id=201850940","ICTVonline=201850940")</f>
        <v>ICTVonline=201850940</v>
      </c>
      <c r="AA3014" s="1">
        <v>201850000</v>
      </c>
      <c r="AB3014" s="1">
        <v>34</v>
      </c>
    </row>
    <row r="3015" spans="1:28" x14ac:dyDescent="0.15">
      <c r="A3015" s="1">
        <v>7709</v>
      </c>
      <c r="J3015" s="1" t="s">
        <v>1332</v>
      </c>
      <c r="L3015" s="1" t="s">
        <v>901</v>
      </c>
      <c r="N3015" s="1" t="s">
        <v>3185</v>
      </c>
      <c r="P3015" s="1" t="s">
        <v>3187</v>
      </c>
      <c r="Q3015" s="3">
        <v>0</v>
      </c>
      <c r="S3015" s="23" t="s">
        <v>5949</v>
      </c>
      <c r="W3015" s="45" t="str">
        <f>HYPERLINK("http://ictvonline.org/taxonomy/p/taxonomy-history?taxnode_id=201850941","ICTVonline=201850941")</f>
        <v>ICTVonline=201850941</v>
      </c>
      <c r="AA3015" s="1">
        <v>201850000</v>
      </c>
      <c r="AB3015" s="1">
        <v>34</v>
      </c>
    </row>
    <row r="3016" spans="1:28" x14ac:dyDescent="0.15">
      <c r="A3016" s="1">
        <v>7713</v>
      </c>
      <c r="J3016" s="1" t="s">
        <v>1332</v>
      </c>
      <c r="L3016" s="1" t="s">
        <v>901</v>
      </c>
      <c r="N3016" s="1" t="s">
        <v>4363</v>
      </c>
      <c r="P3016" s="1" t="s">
        <v>4364</v>
      </c>
      <c r="Q3016" s="3">
        <v>1</v>
      </c>
      <c r="S3016" s="23" t="s">
        <v>5949</v>
      </c>
      <c r="W3016" s="45" t="str">
        <f>HYPERLINK("http://ictvonline.org/taxonomy/p/taxonomy-history?taxnode_id=201850943","ICTVonline=201850943")</f>
        <v>ICTVonline=201850943</v>
      </c>
      <c r="AA3016" s="1">
        <v>201850000</v>
      </c>
      <c r="AB3016" s="1">
        <v>34</v>
      </c>
    </row>
    <row r="3017" spans="1:28" x14ac:dyDescent="0.15">
      <c r="A3017" s="1">
        <v>7717</v>
      </c>
      <c r="J3017" s="1" t="s">
        <v>1332</v>
      </c>
      <c r="L3017" s="1" t="s">
        <v>901</v>
      </c>
      <c r="N3017" s="1" t="s">
        <v>4365</v>
      </c>
      <c r="P3017" s="1" t="s">
        <v>4366</v>
      </c>
      <c r="Q3017" s="3">
        <v>1</v>
      </c>
      <c r="S3017" s="23" t="s">
        <v>5949</v>
      </c>
      <c r="W3017" s="45" t="str">
        <f>HYPERLINK("http://ictvonline.org/taxonomy/p/taxonomy-history?taxnode_id=201850957","ICTVonline=201850957")</f>
        <v>ICTVonline=201850957</v>
      </c>
      <c r="AA3017" s="1">
        <v>201850000</v>
      </c>
      <c r="AB3017" s="1">
        <v>34</v>
      </c>
    </row>
    <row r="3018" spans="1:28" x14ac:dyDescent="0.15">
      <c r="A3018" s="1">
        <v>7721</v>
      </c>
      <c r="J3018" s="1" t="s">
        <v>1332</v>
      </c>
      <c r="L3018" s="1" t="s">
        <v>901</v>
      </c>
      <c r="N3018" s="1" t="s">
        <v>6575</v>
      </c>
      <c r="P3018" s="1" t="s">
        <v>6576</v>
      </c>
      <c r="Q3018" s="3">
        <v>1</v>
      </c>
      <c r="S3018" s="23" t="s">
        <v>5949</v>
      </c>
      <c r="T3018" s="23" t="s">
        <v>4929</v>
      </c>
      <c r="U3018" s="3">
        <v>34</v>
      </c>
      <c r="V3018" s="3" t="s">
        <v>6577</v>
      </c>
      <c r="W3018" s="45" t="str">
        <f>HYPERLINK("http://ictvonline.org/taxonomy/p/taxonomy-history?taxnode_id=201856932","ICTVonline=201856932")</f>
        <v>ICTVonline=201856932</v>
      </c>
      <c r="AA3018" s="1">
        <v>201850000</v>
      </c>
      <c r="AB3018" s="1">
        <v>34</v>
      </c>
    </row>
    <row r="3019" spans="1:28" x14ac:dyDescent="0.15">
      <c r="A3019" s="1">
        <v>7725</v>
      </c>
      <c r="J3019" s="1" t="s">
        <v>1332</v>
      </c>
      <c r="L3019" s="1" t="s">
        <v>901</v>
      </c>
      <c r="N3019" s="1" t="s">
        <v>4367</v>
      </c>
      <c r="P3019" s="1" t="s">
        <v>4368</v>
      </c>
      <c r="Q3019" s="3">
        <v>1</v>
      </c>
      <c r="S3019" s="23" t="s">
        <v>5949</v>
      </c>
      <c r="W3019" s="45" t="str">
        <f>HYPERLINK("http://ictvonline.org/taxonomy/p/taxonomy-history?taxnode_id=201850959","ICTVonline=201850959")</f>
        <v>ICTVonline=201850959</v>
      </c>
      <c r="AA3019" s="1">
        <v>201850000</v>
      </c>
      <c r="AB3019" s="1">
        <v>34</v>
      </c>
    </row>
    <row r="3020" spans="1:28" x14ac:dyDescent="0.15">
      <c r="A3020" s="1">
        <v>7727</v>
      </c>
      <c r="J3020" s="1" t="s">
        <v>1332</v>
      </c>
      <c r="L3020" s="1" t="s">
        <v>901</v>
      </c>
      <c r="N3020" s="1" t="s">
        <v>4367</v>
      </c>
      <c r="P3020" s="1" t="s">
        <v>4369</v>
      </c>
      <c r="Q3020" s="3">
        <v>0</v>
      </c>
      <c r="S3020" s="23" t="s">
        <v>5949</v>
      </c>
      <c r="W3020" s="45" t="str">
        <f>HYPERLINK("http://ictvonline.org/taxonomy/p/taxonomy-history?taxnode_id=201850960","ICTVonline=201850960")</f>
        <v>ICTVonline=201850960</v>
      </c>
      <c r="AA3020" s="1">
        <v>201850000</v>
      </c>
      <c r="AB3020" s="1">
        <v>34</v>
      </c>
    </row>
    <row r="3021" spans="1:28" x14ac:dyDescent="0.15">
      <c r="A3021" s="1">
        <v>7729</v>
      </c>
      <c r="J3021" s="1" t="s">
        <v>1332</v>
      </c>
      <c r="L3021" s="1" t="s">
        <v>901</v>
      </c>
      <c r="N3021" s="1" t="s">
        <v>4367</v>
      </c>
      <c r="P3021" s="1" t="s">
        <v>4370</v>
      </c>
      <c r="Q3021" s="3">
        <v>0</v>
      </c>
      <c r="S3021" s="23" t="s">
        <v>5949</v>
      </c>
      <c r="W3021" s="45" t="str">
        <f>HYPERLINK("http://ictvonline.org/taxonomy/p/taxonomy-history?taxnode_id=201850961","ICTVonline=201850961")</f>
        <v>ICTVonline=201850961</v>
      </c>
      <c r="AA3021" s="1">
        <v>201850000</v>
      </c>
      <c r="AB3021" s="1">
        <v>34</v>
      </c>
    </row>
    <row r="3022" spans="1:28" x14ac:dyDescent="0.15">
      <c r="A3022" s="1">
        <v>7733</v>
      </c>
      <c r="J3022" s="1" t="s">
        <v>1332</v>
      </c>
      <c r="L3022" s="1" t="s">
        <v>901</v>
      </c>
      <c r="N3022" s="1" t="s">
        <v>6578</v>
      </c>
      <c r="P3022" s="1" t="s">
        <v>3196</v>
      </c>
      <c r="Q3022" s="3">
        <v>1</v>
      </c>
      <c r="S3022" s="23" t="s">
        <v>5949</v>
      </c>
      <c r="T3022" s="23" t="s">
        <v>4931</v>
      </c>
      <c r="U3022" s="3">
        <v>34</v>
      </c>
      <c r="W3022" s="45" t="str">
        <f>HYPERLINK("http://ictvonline.org/taxonomy/p/taxonomy-history?taxnode_id=201850954","ICTVonline=201850954")</f>
        <v>ICTVonline=201850954</v>
      </c>
      <c r="AA3022" s="1">
        <v>201850000</v>
      </c>
      <c r="AB3022" s="1">
        <v>34</v>
      </c>
    </row>
    <row r="3023" spans="1:28" x14ac:dyDescent="0.15">
      <c r="A3023" s="1">
        <v>7735</v>
      </c>
      <c r="J3023" s="1" t="s">
        <v>1332</v>
      </c>
      <c r="L3023" s="1" t="s">
        <v>901</v>
      </c>
      <c r="N3023" s="1" t="s">
        <v>6578</v>
      </c>
      <c r="P3023" s="1" t="s">
        <v>3197</v>
      </c>
      <c r="Q3023" s="3">
        <v>0</v>
      </c>
      <c r="S3023" s="23" t="s">
        <v>5949</v>
      </c>
      <c r="T3023" s="23" t="s">
        <v>4931</v>
      </c>
      <c r="U3023" s="3">
        <v>34</v>
      </c>
      <c r="W3023" s="45" t="str">
        <f>HYPERLINK("http://ictvonline.org/taxonomy/p/taxonomy-history?taxnode_id=201850955","ICTVonline=201850955")</f>
        <v>ICTVonline=201850955</v>
      </c>
      <c r="AA3023" s="1">
        <v>201850000</v>
      </c>
      <c r="AB3023" s="1">
        <v>34</v>
      </c>
    </row>
    <row r="3024" spans="1:28" x14ac:dyDescent="0.15">
      <c r="A3024" s="1">
        <v>7739</v>
      </c>
      <c r="J3024" s="1" t="s">
        <v>1332</v>
      </c>
      <c r="L3024" s="1" t="s">
        <v>901</v>
      </c>
      <c r="N3024" s="1" t="s">
        <v>6579</v>
      </c>
      <c r="P3024" s="1" t="s">
        <v>4384</v>
      </c>
      <c r="Q3024" s="3">
        <v>0</v>
      </c>
      <c r="S3024" s="23" t="s">
        <v>5949</v>
      </c>
      <c r="T3024" s="23" t="s">
        <v>4931</v>
      </c>
      <c r="U3024" s="3">
        <v>34</v>
      </c>
      <c r="W3024" s="45" t="str">
        <f>HYPERLINK("http://ictvonline.org/taxonomy/p/taxonomy-history?taxnode_id=201850983","ICTVonline=201850983")</f>
        <v>ICTVonline=201850983</v>
      </c>
      <c r="AA3024" s="1">
        <v>201850000</v>
      </c>
      <c r="AB3024" s="1">
        <v>34</v>
      </c>
    </row>
    <row r="3025" spans="1:28" x14ac:dyDescent="0.15">
      <c r="A3025" s="1">
        <v>7741</v>
      </c>
      <c r="J3025" s="1" t="s">
        <v>1332</v>
      </c>
      <c r="L3025" s="1" t="s">
        <v>901</v>
      </c>
      <c r="N3025" s="1" t="s">
        <v>6579</v>
      </c>
      <c r="P3025" s="1" t="s">
        <v>3201</v>
      </c>
      <c r="Q3025" s="3">
        <v>1</v>
      </c>
      <c r="S3025" s="23" t="s">
        <v>5949</v>
      </c>
      <c r="T3025" s="23" t="s">
        <v>4931</v>
      </c>
      <c r="U3025" s="3">
        <v>34</v>
      </c>
      <c r="W3025" s="45" t="str">
        <f>HYPERLINK("http://ictvonline.org/taxonomy/p/taxonomy-history?taxnode_id=201850984","ICTVonline=201850984")</f>
        <v>ICTVonline=201850984</v>
      </c>
      <c r="AA3025" s="1">
        <v>201850000</v>
      </c>
      <c r="AB3025" s="1">
        <v>34</v>
      </c>
    </row>
    <row r="3026" spans="1:28" x14ac:dyDescent="0.15">
      <c r="A3026" s="1">
        <v>7743</v>
      </c>
      <c r="J3026" s="1" t="s">
        <v>1332</v>
      </c>
      <c r="L3026" s="1" t="s">
        <v>901</v>
      </c>
      <c r="N3026" s="1" t="s">
        <v>6579</v>
      </c>
      <c r="P3026" s="1" t="s">
        <v>3202</v>
      </c>
      <c r="Q3026" s="3">
        <v>0</v>
      </c>
      <c r="S3026" s="23" t="s">
        <v>5949</v>
      </c>
      <c r="T3026" s="23" t="s">
        <v>4931</v>
      </c>
      <c r="U3026" s="3">
        <v>34</v>
      </c>
      <c r="W3026" s="45" t="str">
        <f>HYPERLINK("http://ictvonline.org/taxonomy/p/taxonomy-history?taxnode_id=201850985","ICTVonline=201850985")</f>
        <v>ICTVonline=201850985</v>
      </c>
      <c r="AA3026" s="1">
        <v>201850000</v>
      </c>
      <c r="AB3026" s="1">
        <v>34</v>
      </c>
    </row>
    <row r="3027" spans="1:28" x14ac:dyDescent="0.15">
      <c r="A3027" s="1">
        <v>7745</v>
      </c>
      <c r="J3027" s="1" t="s">
        <v>1332</v>
      </c>
      <c r="L3027" s="1" t="s">
        <v>901</v>
      </c>
      <c r="N3027" s="1" t="s">
        <v>6579</v>
      </c>
      <c r="P3027" s="1" t="s">
        <v>3203</v>
      </c>
      <c r="Q3027" s="3">
        <v>0</v>
      </c>
      <c r="S3027" s="23" t="s">
        <v>5949</v>
      </c>
      <c r="T3027" s="23" t="s">
        <v>4931</v>
      </c>
      <c r="U3027" s="3">
        <v>34</v>
      </c>
      <c r="W3027" s="45" t="str">
        <f>HYPERLINK("http://ictvonline.org/taxonomy/p/taxonomy-history?taxnode_id=201850986","ICTVonline=201850986")</f>
        <v>ICTVonline=201850986</v>
      </c>
      <c r="AA3027" s="1">
        <v>201850000</v>
      </c>
      <c r="AB3027" s="1">
        <v>34</v>
      </c>
    </row>
    <row r="3028" spans="1:28" x14ac:dyDescent="0.15">
      <c r="A3028" s="1">
        <v>7747</v>
      </c>
      <c r="J3028" s="1" t="s">
        <v>1332</v>
      </c>
      <c r="L3028" s="1" t="s">
        <v>901</v>
      </c>
      <c r="N3028" s="1" t="s">
        <v>6579</v>
      </c>
      <c r="P3028" s="1" t="s">
        <v>4385</v>
      </c>
      <c r="Q3028" s="3">
        <v>0</v>
      </c>
      <c r="S3028" s="23" t="s">
        <v>5949</v>
      </c>
      <c r="T3028" s="23" t="s">
        <v>4931</v>
      </c>
      <c r="U3028" s="3">
        <v>34</v>
      </c>
      <c r="W3028" s="45" t="str">
        <f>HYPERLINK("http://ictvonline.org/taxonomy/p/taxonomy-history?taxnode_id=201850987","ICTVonline=201850987")</f>
        <v>ICTVonline=201850987</v>
      </c>
      <c r="AA3028" s="1">
        <v>201850000</v>
      </c>
      <c r="AB3028" s="1">
        <v>34</v>
      </c>
    </row>
    <row r="3029" spans="1:28" x14ac:dyDescent="0.15">
      <c r="A3029" s="1">
        <v>7749</v>
      </c>
      <c r="J3029" s="1" t="s">
        <v>1332</v>
      </c>
      <c r="L3029" s="1" t="s">
        <v>901</v>
      </c>
      <c r="N3029" s="1" t="s">
        <v>6579</v>
      </c>
      <c r="P3029" s="1" t="s">
        <v>3204</v>
      </c>
      <c r="Q3029" s="3">
        <v>0</v>
      </c>
      <c r="S3029" s="23" t="s">
        <v>5949</v>
      </c>
      <c r="T3029" s="23" t="s">
        <v>4931</v>
      </c>
      <c r="U3029" s="3">
        <v>34</v>
      </c>
      <c r="W3029" s="45" t="str">
        <f>HYPERLINK("http://ictvonline.org/taxonomy/p/taxonomy-history?taxnode_id=201850988","ICTVonline=201850988")</f>
        <v>ICTVonline=201850988</v>
      </c>
      <c r="AA3029" s="1">
        <v>201850000</v>
      </c>
      <c r="AB3029" s="1">
        <v>34</v>
      </c>
    </row>
    <row r="3030" spans="1:28" x14ac:dyDescent="0.15">
      <c r="A3030" s="1">
        <v>7751</v>
      </c>
      <c r="J3030" s="1" t="s">
        <v>1332</v>
      </c>
      <c r="L3030" s="1" t="s">
        <v>901</v>
      </c>
      <c r="N3030" s="1" t="s">
        <v>6579</v>
      </c>
      <c r="P3030" s="1" t="s">
        <v>3205</v>
      </c>
      <c r="Q3030" s="3">
        <v>0</v>
      </c>
      <c r="S3030" s="23" t="s">
        <v>5949</v>
      </c>
      <c r="T3030" s="23" t="s">
        <v>4931</v>
      </c>
      <c r="U3030" s="3">
        <v>34</v>
      </c>
      <c r="W3030" s="45" t="str">
        <f>HYPERLINK("http://ictvonline.org/taxonomy/p/taxonomy-history?taxnode_id=201850989","ICTVonline=201850989")</f>
        <v>ICTVonline=201850989</v>
      </c>
      <c r="AA3030" s="1">
        <v>201850000</v>
      </c>
      <c r="AB3030" s="1">
        <v>34</v>
      </c>
    </row>
    <row r="3031" spans="1:28" x14ac:dyDescent="0.15">
      <c r="A3031" s="1">
        <v>7755</v>
      </c>
      <c r="J3031" s="1" t="s">
        <v>1332</v>
      </c>
      <c r="L3031" s="1" t="s">
        <v>901</v>
      </c>
      <c r="N3031" s="1" t="s">
        <v>6580</v>
      </c>
      <c r="P3031" s="1" t="s">
        <v>6581</v>
      </c>
      <c r="Q3031" s="3">
        <v>1</v>
      </c>
      <c r="S3031" s="23" t="s">
        <v>5949</v>
      </c>
      <c r="T3031" s="23" t="s">
        <v>4929</v>
      </c>
      <c r="U3031" s="3">
        <v>34</v>
      </c>
      <c r="V3031" s="3" t="s">
        <v>6582</v>
      </c>
      <c r="W3031" s="45" t="str">
        <f>HYPERLINK("http://ictvonline.org/taxonomy/p/taxonomy-history?taxnode_id=201856737","ICTVonline=201856737")</f>
        <v>ICTVonline=201856737</v>
      </c>
      <c r="AA3031" s="1">
        <v>201850000</v>
      </c>
      <c r="AB3031" s="1">
        <v>34</v>
      </c>
    </row>
    <row r="3032" spans="1:28" x14ac:dyDescent="0.15">
      <c r="A3032" s="1">
        <v>7759</v>
      </c>
      <c r="J3032" s="1" t="s">
        <v>1332</v>
      </c>
      <c r="L3032" s="1" t="s">
        <v>901</v>
      </c>
      <c r="N3032" s="1" t="s">
        <v>5073</v>
      </c>
      <c r="P3032" s="1" t="s">
        <v>5074</v>
      </c>
      <c r="Q3032" s="3">
        <v>0</v>
      </c>
      <c r="S3032" s="23" t="s">
        <v>5949</v>
      </c>
      <c r="W3032" s="45" t="str">
        <f>HYPERLINK("http://ictvonline.org/taxonomy/p/taxonomy-history?taxnode_id=201855543","ICTVonline=201855543")</f>
        <v>ICTVonline=201855543</v>
      </c>
      <c r="AA3032" s="1">
        <v>201850000</v>
      </c>
      <c r="AB3032" s="1">
        <v>34</v>
      </c>
    </row>
    <row r="3033" spans="1:28" x14ac:dyDescent="0.15">
      <c r="A3033" s="1">
        <v>7761</v>
      </c>
      <c r="J3033" s="1" t="s">
        <v>1332</v>
      </c>
      <c r="L3033" s="1" t="s">
        <v>901</v>
      </c>
      <c r="N3033" s="1" t="s">
        <v>5073</v>
      </c>
      <c r="P3033" s="1" t="s">
        <v>5075</v>
      </c>
      <c r="Q3033" s="3">
        <v>1</v>
      </c>
      <c r="S3033" s="23" t="s">
        <v>5949</v>
      </c>
      <c r="W3033" s="45" t="str">
        <f>HYPERLINK("http://ictvonline.org/taxonomy/p/taxonomy-history?taxnode_id=201855544","ICTVonline=201855544")</f>
        <v>ICTVonline=201855544</v>
      </c>
      <c r="AA3033" s="1">
        <v>201850000</v>
      </c>
      <c r="AB3033" s="1">
        <v>34</v>
      </c>
    </row>
    <row r="3034" spans="1:28" x14ac:dyDescent="0.15">
      <c r="A3034" s="1">
        <v>7763</v>
      </c>
      <c r="J3034" s="1" t="s">
        <v>1332</v>
      </c>
      <c r="L3034" s="1" t="s">
        <v>901</v>
      </c>
      <c r="N3034" s="1" t="s">
        <v>5073</v>
      </c>
      <c r="P3034" s="1" t="s">
        <v>5076</v>
      </c>
      <c r="Q3034" s="3">
        <v>0</v>
      </c>
      <c r="S3034" s="23" t="s">
        <v>5949</v>
      </c>
      <c r="W3034" s="45" t="str">
        <f>HYPERLINK("http://ictvonline.org/taxonomy/p/taxonomy-history?taxnode_id=201855545","ICTVonline=201855545")</f>
        <v>ICTVonline=201855545</v>
      </c>
      <c r="AA3034" s="1">
        <v>201850000</v>
      </c>
      <c r="AB3034" s="1">
        <v>34</v>
      </c>
    </row>
    <row r="3035" spans="1:28" x14ac:dyDescent="0.15">
      <c r="A3035" s="1">
        <v>7765</v>
      </c>
      <c r="J3035" s="1" t="s">
        <v>1332</v>
      </c>
      <c r="L3035" s="1" t="s">
        <v>901</v>
      </c>
      <c r="N3035" s="1" t="s">
        <v>5073</v>
      </c>
      <c r="P3035" s="1" t="s">
        <v>5077</v>
      </c>
      <c r="Q3035" s="3">
        <v>0</v>
      </c>
      <c r="S3035" s="23" t="s">
        <v>5949</v>
      </c>
      <c r="W3035" s="45" t="str">
        <f>HYPERLINK("http://ictvonline.org/taxonomy/p/taxonomy-history?taxnode_id=201855546","ICTVonline=201855546")</f>
        <v>ICTVonline=201855546</v>
      </c>
      <c r="AA3035" s="1">
        <v>201850000</v>
      </c>
      <c r="AB3035" s="1">
        <v>34</v>
      </c>
    </row>
    <row r="3036" spans="1:28" x14ac:dyDescent="0.15">
      <c r="A3036" s="1">
        <v>7769</v>
      </c>
      <c r="J3036" s="1" t="s">
        <v>1332</v>
      </c>
      <c r="L3036" s="1" t="s">
        <v>901</v>
      </c>
      <c r="N3036" s="1" t="s">
        <v>6583</v>
      </c>
      <c r="P3036" s="1" t="s">
        <v>6584</v>
      </c>
      <c r="Q3036" s="3">
        <v>0</v>
      </c>
      <c r="S3036" s="23" t="s">
        <v>5949</v>
      </c>
      <c r="T3036" s="23" t="s">
        <v>4929</v>
      </c>
      <c r="U3036" s="3">
        <v>34</v>
      </c>
      <c r="V3036" s="3" t="s">
        <v>6585</v>
      </c>
      <c r="W3036" s="45" t="str">
        <f>HYPERLINK("http://ictvonline.org/taxonomy/p/taxonomy-history?taxnode_id=201856936","ICTVonline=201856936")</f>
        <v>ICTVonline=201856936</v>
      </c>
      <c r="AA3036" s="1">
        <v>201850000</v>
      </c>
      <c r="AB3036" s="1">
        <v>34</v>
      </c>
    </row>
    <row r="3037" spans="1:28" x14ac:dyDescent="0.15">
      <c r="A3037" s="1">
        <v>7771</v>
      </c>
      <c r="J3037" s="1" t="s">
        <v>1332</v>
      </c>
      <c r="L3037" s="1" t="s">
        <v>901</v>
      </c>
      <c r="N3037" s="1" t="s">
        <v>6583</v>
      </c>
      <c r="P3037" s="1" t="s">
        <v>6586</v>
      </c>
      <c r="Q3037" s="3">
        <v>0</v>
      </c>
      <c r="S3037" s="23" t="s">
        <v>5949</v>
      </c>
      <c r="T3037" s="23" t="s">
        <v>4929</v>
      </c>
      <c r="U3037" s="3">
        <v>34</v>
      </c>
      <c r="V3037" s="3" t="s">
        <v>6585</v>
      </c>
      <c r="W3037" s="45" t="str">
        <f>HYPERLINK("http://ictvonline.org/taxonomy/p/taxonomy-history?taxnode_id=201856938","ICTVonline=201856938")</f>
        <v>ICTVonline=201856938</v>
      </c>
      <c r="AA3037" s="1">
        <v>201850000</v>
      </c>
      <c r="AB3037" s="1">
        <v>34</v>
      </c>
    </row>
    <row r="3038" spans="1:28" x14ac:dyDescent="0.15">
      <c r="A3038" s="1">
        <v>7773</v>
      </c>
      <c r="J3038" s="1" t="s">
        <v>1332</v>
      </c>
      <c r="L3038" s="1" t="s">
        <v>901</v>
      </c>
      <c r="N3038" s="1" t="s">
        <v>6583</v>
      </c>
      <c r="P3038" s="1" t="s">
        <v>6587</v>
      </c>
      <c r="Q3038" s="3">
        <v>0</v>
      </c>
      <c r="S3038" s="23" t="s">
        <v>5949</v>
      </c>
      <c r="T3038" s="23" t="s">
        <v>4929</v>
      </c>
      <c r="U3038" s="3">
        <v>34</v>
      </c>
      <c r="V3038" s="3" t="s">
        <v>6585</v>
      </c>
      <c r="W3038" s="45" t="str">
        <f>HYPERLINK("http://ictvonline.org/taxonomy/p/taxonomy-history?taxnode_id=201856939","ICTVonline=201856939")</f>
        <v>ICTVonline=201856939</v>
      </c>
      <c r="AA3038" s="1">
        <v>201850000</v>
      </c>
      <c r="AB3038" s="1">
        <v>34</v>
      </c>
    </row>
    <row r="3039" spans="1:28" x14ac:dyDescent="0.15">
      <c r="A3039" s="1">
        <v>7775</v>
      </c>
      <c r="J3039" s="1" t="s">
        <v>1332</v>
      </c>
      <c r="L3039" s="1" t="s">
        <v>901</v>
      </c>
      <c r="N3039" s="1" t="s">
        <v>6583</v>
      </c>
      <c r="P3039" s="1" t="s">
        <v>6588</v>
      </c>
      <c r="Q3039" s="3">
        <v>0</v>
      </c>
      <c r="S3039" s="23" t="s">
        <v>5949</v>
      </c>
      <c r="T3039" s="23" t="s">
        <v>4929</v>
      </c>
      <c r="U3039" s="3">
        <v>34</v>
      </c>
      <c r="V3039" s="3" t="s">
        <v>6585</v>
      </c>
      <c r="W3039" s="45" t="str">
        <f>HYPERLINK("http://ictvonline.org/taxonomy/p/taxonomy-history?taxnode_id=201856935","ICTVonline=201856935")</f>
        <v>ICTVonline=201856935</v>
      </c>
      <c r="AA3039" s="1">
        <v>201850000</v>
      </c>
      <c r="AB3039" s="1">
        <v>34</v>
      </c>
    </row>
    <row r="3040" spans="1:28" x14ac:dyDescent="0.15">
      <c r="A3040" s="1">
        <v>7777</v>
      </c>
      <c r="J3040" s="1" t="s">
        <v>1332</v>
      </c>
      <c r="L3040" s="1" t="s">
        <v>901</v>
      </c>
      <c r="N3040" s="1" t="s">
        <v>6583</v>
      </c>
      <c r="P3040" s="1" t="s">
        <v>6589</v>
      </c>
      <c r="Q3040" s="3">
        <v>0</v>
      </c>
      <c r="S3040" s="23" t="s">
        <v>5949</v>
      </c>
      <c r="T3040" s="23" t="s">
        <v>4929</v>
      </c>
      <c r="U3040" s="3">
        <v>34</v>
      </c>
      <c r="V3040" s="3" t="s">
        <v>6585</v>
      </c>
      <c r="W3040" s="45" t="str">
        <f>HYPERLINK("http://ictvonline.org/taxonomy/p/taxonomy-history?taxnode_id=201856940","ICTVonline=201856940")</f>
        <v>ICTVonline=201856940</v>
      </c>
      <c r="AA3040" s="1">
        <v>201850000</v>
      </c>
      <c r="AB3040" s="1">
        <v>34</v>
      </c>
    </row>
    <row r="3041" spans="1:28" x14ac:dyDescent="0.15">
      <c r="A3041" s="1">
        <v>7779</v>
      </c>
      <c r="J3041" s="1" t="s">
        <v>1332</v>
      </c>
      <c r="L3041" s="1" t="s">
        <v>901</v>
      </c>
      <c r="N3041" s="1" t="s">
        <v>6583</v>
      </c>
      <c r="P3041" s="1" t="s">
        <v>6590</v>
      </c>
      <c r="Q3041" s="3">
        <v>1</v>
      </c>
      <c r="S3041" s="23" t="s">
        <v>5949</v>
      </c>
      <c r="T3041" s="23" t="s">
        <v>4929</v>
      </c>
      <c r="U3041" s="3">
        <v>34</v>
      </c>
      <c r="V3041" s="3" t="s">
        <v>6585</v>
      </c>
      <c r="W3041" s="45" t="str">
        <f>HYPERLINK("http://ictvonline.org/taxonomy/p/taxonomy-history?taxnode_id=201856934","ICTVonline=201856934")</f>
        <v>ICTVonline=201856934</v>
      </c>
      <c r="AA3041" s="1">
        <v>201850000</v>
      </c>
      <c r="AB3041" s="1">
        <v>34</v>
      </c>
    </row>
    <row r="3042" spans="1:28" x14ac:dyDescent="0.15">
      <c r="A3042" s="1">
        <v>7781</v>
      </c>
      <c r="J3042" s="1" t="s">
        <v>1332</v>
      </c>
      <c r="L3042" s="1" t="s">
        <v>901</v>
      </c>
      <c r="N3042" s="1" t="s">
        <v>6583</v>
      </c>
      <c r="P3042" s="1" t="s">
        <v>6591</v>
      </c>
      <c r="Q3042" s="3">
        <v>0</v>
      </c>
      <c r="S3042" s="23" t="s">
        <v>5949</v>
      </c>
      <c r="T3042" s="23" t="s">
        <v>4929</v>
      </c>
      <c r="U3042" s="3">
        <v>34</v>
      </c>
      <c r="V3042" s="3" t="s">
        <v>6585</v>
      </c>
      <c r="W3042" s="45" t="str">
        <f>HYPERLINK("http://ictvonline.org/taxonomy/p/taxonomy-history?taxnode_id=201856946","ICTVonline=201856946")</f>
        <v>ICTVonline=201856946</v>
      </c>
      <c r="AA3042" s="1">
        <v>201850000</v>
      </c>
      <c r="AB3042" s="1">
        <v>34</v>
      </c>
    </row>
    <row r="3043" spans="1:28" x14ac:dyDescent="0.15">
      <c r="A3043" s="1">
        <v>7783</v>
      </c>
      <c r="J3043" s="1" t="s">
        <v>1332</v>
      </c>
      <c r="L3043" s="1" t="s">
        <v>901</v>
      </c>
      <c r="N3043" s="1" t="s">
        <v>6583</v>
      </c>
      <c r="P3043" s="1" t="s">
        <v>6592</v>
      </c>
      <c r="Q3043" s="3">
        <v>0</v>
      </c>
      <c r="S3043" s="23" t="s">
        <v>5949</v>
      </c>
      <c r="T3043" s="23" t="s">
        <v>4929</v>
      </c>
      <c r="U3043" s="3">
        <v>34</v>
      </c>
      <c r="V3043" s="3" t="s">
        <v>6585</v>
      </c>
      <c r="W3043" s="45" t="str">
        <f>HYPERLINK("http://ictvonline.org/taxonomy/p/taxonomy-history?taxnode_id=201856947","ICTVonline=201856947")</f>
        <v>ICTVonline=201856947</v>
      </c>
      <c r="AA3043" s="1">
        <v>201850000</v>
      </c>
      <c r="AB3043" s="1">
        <v>34</v>
      </c>
    </row>
    <row r="3044" spans="1:28" x14ac:dyDescent="0.15">
      <c r="A3044" s="1">
        <v>7785</v>
      </c>
      <c r="J3044" s="1" t="s">
        <v>1332</v>
      </c>
      <c r="L3044" s="1" t="s">
        <v>901</v>
      </c>
      <c r="N3044" s="1" t="s">
        <v>6583</v>
      </c>
      <c r="P3044" s="1" t="s">
        <v>6593</v>
      </c>
      <c r="Q3044" s="3">
        <v>0</v>
      </c>
      <c r="S3044" s="23" t="s">
        <v>5949</v>
      </c>
      <c r="T3044" s="23" t="s">
        <v>4929</v>
      </c>
      <c r="U3044" s="3">
        <v>34</v>
      </c>
      <c r="V3044" s="3" t="s">
        <v>6585</v>
      </c>
      <c r="W3044" s="45" t="str">
        <f>HYPERLINK("http://ictvonline.org/taxonomy/p/taxonomy-history?taxnode_id=201856937","ICTVonline=201856937")</f>
        <v>ICTVonline=201856937</v>
      </c>
      <c r="AA3044" s="1">
        <v>201850000</v>
      </c>
      <c r="AB3044" s="1">
        <v>34</v>
      </c>
    </row>
    <row r="3045" spans="1:28" x14ac:dyDescent="0.15">
      <c r="A3045" s="1">
        <v>7787</v>
      </c>
      <c r="J3045" s="1" t="s">
        <v>1332</v>
      </c>
      <c r="L3045" s="1" t="s">
        <v>901</v>
      </c>
      <c r="N3045" s="1" t="s">
        <v>6583</v>
      </c>
      <c r="P3045" s="1" t="s">
        <v>6594</v>
      </c>
      <c r="Q3045" s="3">
        <v>0</v>
      </c>
      <c r="S3045" s="23" t="s">
        <v>5949</v>
      </c>
      <c r="T3045" s="23" t="s">
        <v>4929</v>
      </c>
      <c r="U3045" s="3">
        <v>34</v>
      </c>
      <c r="V3045" s="3" t="s">
        <v>6585</v>
      </c>
      <c r="W3045" s="45" t="str">
        <f>HYPERLINK("http://ictvonline.org/taxonomy/p/taxonomy-history?taxnode_id=201856944","ICTVonline=201856944")</f>
        <v>ICTVonline=201856944</v>
      </c>
      <c r="AA3045" s="1">
        <v>201850000</v>
      </c>
      <c r="AB3045" s="1">
        <v>34</v>
      </c>
    </row>
    <row r="3046" spans="1:28" x14ac:dyDescent="0.15">
      <c r="A3046" s="1">
        <v>7789</v>
      </c>
      <c r="J3046" s="1" t="s">
        <v>1332</v>
      </c>
      <c r="L3046" s="1" t="s">
        <v>901</v>
      </c>
      <c r="N3046" s="1" t="s">
        <v>6583</v>
      </c>
      <c r="P3046" s="1" t="s">
        <v>6595</v>
      </c>
      <c r="Q3046" s="3">
        <v>0</v>
      </c>
      <c r="S3046" s="23" t="s">
        <v>5949</v>
      </c>
      <c r="T3046" s="23" t="s">
        <v>4929</v>
      </c>
      <c r="U3046" s="3">
        <v>34</v>
      </c>
      <c r="V3046" s="3" t="s">
        <v>6585</v>
      </c>
      <c r="W3046" s="45" t="str">
        <f>HYPERLINK("http://ictvonline.org/taxonomy/p/taxonomy-history?taxnode_id=201856942","ICTVonline=201856942")</f>
        <v>ICTVonline=201856942</v>
      </c>
      <c r="AA3046" s="1">
        <v>201850000</v>
      </c>
      <c r="AB3046" s="1">
        <v>34</v>
      </c>
    </row>
    <row r="3047" spans="1:28" x14ac:dyDescent="0.15">
      <c r="A3047" s="1">
        <v>7791</v>
      </c>
      <c r="J3047" s="1" t="s">
        <v>1332</v>
      </c>
      <c r="L3047" s="1" t="s">
        <v>901</v>
      </c>
      <c r="N3047" s="1" t="s">
        <v>6583</v>
      </c>
      <c r="P3047" s="1" t="s">
        <v>6596</v>
      </c>
      <c r="Q3047" s="3">
        <v>0</v>
      </c>
      <c r="S3047" s="23" t="s">
        <v>5949</v>
      </c>
      <c r="T3047" s="23" t="s">
        <v>4929</v>
      </c>
      <c r="U3047" s="3">
        <v>34</v>
      </c>
      <c r="V3047" s="3" t="s">
        <v>6585</v>
      </c>
      <c r="W3047" s="45" t="str">
        <f>HYPERLINK("http://ictvonline.org/taxonomy/p/taxonomy-history?taxnode_id=201856941","ICTVonline=201856941")</f>
        <v>ICTVonline=201856941</v>
      </c>
      <c r="AA3047" s="1">
        <v>201850000</v>
      </c>
      <c r="AB3047" s="1">
        <v>34</v>
      </c>
    </row>
    <row r="3048" spans="1:28" x14ac:dyDescent="0.15">
      <c r="A3048" s="1">
        <v>7793</v>
      </c>
      <c r="J3048" s="1" t="s">
        <v>1332</v>
      </c>
      <c r="L3048" s="1" t="s">
        <v>901</v>
      </c>
      <c r="N3048" s="1" t="s">
        <v>6583</v>
      </c>
      <c r="P3048" s="1" t="s">
        <v>6597</v>
      </c>
      <c r="Q3048" s="3">
        <v>0</v>
      </c>
      <c r="S3048" s="23" t="s">
        <v>5949</v>
      </c>
      <c r="T3048" s="23" t="s">
        <v>4929</v>
      </c>
      <c r="U3048" s="3">
        <v>34</v>
      </c>
      <c r="V3048" s="3" t="s">
        <v>6585</v>
      </c>
      <c r="W3048" s="45" t="str">
        <f>HYPERLINK("http://ictvonline.org/taxonomy/p/taxonomy-history?taxnode_id=201856945","ICTVonline=201856945")</f>
        <v>ICTVonline=201856945</v>
      </c>
      <c r="AA3048" s="1">
        <v>201850000</v>
      </c>
      <c r="AB3048" s="1">
        <v>34</v>
      </c>
    </row>
    <row r="3049" spans="1:28" x14ac:dyDescent="0.15">
      <c r="A3049" s="1">
        <v>7795</v>
      </c>
      <c r="J3049" s="1" t="s">
        <v>1332</v>
      </c>
      <c r="L3049" s="1" t="s">
        <v>901</v>
      </c>
      <c r="N3049" s="1" t="s">
        <v>6583</v>
      </c>
      <c r="P3049" s="1" t="s">
        <v>6598</v>
      </c>
      <c r="Q3049" s="3">
        <v>0</v>
      </c>
      <c r="S3049" s="23" t="s">
        <v>5949</v>
      </c>
      <c r="T3049" s="23" t="s">
        <v>4929</v>
      </c>
      <c r="U3049" s="3">
        <v>34</v>
      </c>
      <c r="V3049" s="3" t="s">
        <v>6585</v>
      </c>
      <c r="W3049" s="45" t="str">
        <f>HYPERLINK("http://ictvonline.org/taxonomy/p/taxonomy-history?taxnode_id=201856943","ICTVonline=201856943")</f>
        <v>ICTVonline=201856943</v>
      </c>
      <c r="AA3049" s="1">
        <v>201850000</v>
      </c>
      <c r="AB3049" s="1">
        <v>34</v>
      </c>
    </row>
    <row r="3050" spans="1:28" x14ac:dyDescent="0.15">
      <c r="A3050" s="1">
        <v>7799</v>
      </c>
      <c r="J3050" s="1" t="s">
        <v>1332</v>
      </c>
      <c r="L3050" s="1" t="s">
        <v>901</v>
      </c>
      <c r="N3050" s="1" t="s">
        <v>4371</v>
      </c>
      <c r="P3050" s="1" t="s">
        <v>4372</v>
      </c>
      <c r="Q3050" s="3">
        <v>1</v>
      </c>
      <c r="S3050" s="23" t="s">
        <v>5949</v>
      </c>
      <c r="W3050" s="45" t="str">
        <f>HYPERLINK("http://ictvonline.org/taxonomy/p/taxonomy-history?taxnode_id=201850967","ICTVonline=201850967")</f>
        <v>ICTVonline=201850967</v>
      </c>
      <c r="AA3050" s="1">
        <v>201850000</v>
      </c>
      <c r="AB3050" s="1">
        <v>34</v>
      </c>
    </row>
    <row r="3051" spans="1:28" x14ac:dyDescent="0.15">
      <c r="A3051" s="1">
        <v>7803</v>
      </c>
      <c r="J3051" s="1" t="s">
        <v>1332</v>
      </c>
      <c r="L3051" s="1" t="s">
        <v>901</v>
      </c>
      <c r="N3051" s="1" t="s">
        <v>6599</v>
      </c>
      <c r="P3051" s="1" t="s">
        <v>6600</v>
      </c>
      <c r="Q3051" s="3">
        <v>1</v>
      </c>
      <c r="S3051" s="23" t="s">
        <v>5949</v>
      </c>
      <c r="T3051" s="23" t="s">
        <v>6601</v>
      </c>
      <c r="U3051" s="3">
        <v>34</v>
      </c>
      <c r="V3051" s="3" t="s">
        <v>6602</v>
      </c>
      <c r="W3051" s="45" t="str">
        <f>HYPERLINK("http://ictvonline.org/taxonomy/p/taxonomy-history?taxnode_id=201851379","ICTVonline=201851379")</f>
        <v>ICTVonline=201851379</v>
      </c>
      <c r="AA3051" s="1">
        <v>201850000</v>
      </c>
      <c r="AB3051" s="1">
        <v>34</v>
      </c>
    </row>
    <row r="3052" spans="1:28" x14ac:dyDescent="0.15">
      <c r="A3052" s="1">
        <v>7807</v>
      </c>
      <c r="J3052" s="1" t="s">
        <v>1332</v>
      </c>
      <c r="L3052" s="1" t="s">
        <v>901</v>
      </c>
      <c r="N3052" s="1" t="s">
        <v>6603</v>
      </c>
      <c r="P3052" s="1" t="s">
        <v>6604</v>
      </c>
      <c r="Q3052" s="3">
        <v>1</v>
      </c>
      <c r="S3052" s="23" t="s">
        <v>5949</v>
      </c>
      <c r="T3052" s="23" t="s">
        <v>4929</v>
      </c>
      <c r="U3052" s="3">
        <v>34</v>
      </c>
      <c r="V3052" s="3" t="s">
        <v>6605</v>
      </c>
      <c r="W3052" s="45" t="str">
        <f>HYPERLINK("http://ictvonline.org/taxonomy/p/taxonomy-history?taxnode_id=201856739","ICTVonline=201856739")</f>
        <v>ICTVonline=201856739</v>
      </c>
      <c r="AA3052" s="1">
        <v>201850000</v>
      </c>
      <c r="AB3052" s="1">
        <v>34</v>
      </c>
    </row>
    <row r="3053" spans="1:28" x14ac:dyDescent="0.15">
      <c r="A3053" s="1">
        <v>7811</v>
      </c>
      <c r="J3053" s="1" t="s">
        <v>1332</v>
      </c>
      <c r="L3053" s="1" t="s">
        <v>901</v>
      </c>
      <c r="N3053" s="1" t="s">
        <v>6606</v>
      </c>
      <c r="P3053" s="1" t="s">
        <v>6607</v>
      </c>
      <c r="Q3053" s="3">
        <v>0</v>
      </c>
      <c r="S3053" s="23" t="s">
        <v>5949</v>
      </c>
      <c r="T3053" s="23" t="s">
        <v>4929</v>
      </c>
      <c r="U3053" s="3">
        <v>34</v>
      </c>
      <c r="V3053" s="3" t="s">
        <v>6608</v>
      </c>
      <c r="W3053" s="45" t="str">
        <f>HYPERLINK("http://ictvonline.org/taxonomy/p/taxonomy-history?taxnode_id=201856821","ICTVonline=201856821")</f>
        <v>ICTVonline=201856821</v>
      </c>
      <c r="AA3053" s="1">
        <v>201850000</v>
      </c>
      <c r="AB3053" s="1">
        <v>34</v>
      </c>
    </row>
    <row r="3054" spans="1:28" x14ac:dyDescent="0.15">
      <c r="A3054" s="1">
        <v>7813</v>
      </c>
      <c r="J3054" s="1" t="s">
        <v>1332</v>
      </c>
      <c r="L3054" s="1" t="s">
        <v>901</v>
      </c>
      <c r="N3054" s="1" t="s">
        <v>6606</v>
      </c>
      <c r="P3054" s="1" t="s">
        <v>6609</v>
      </c>
      <c r="Q3054" s="3">
        <v>1</v>
      </c>
      <c r="S3054" s="23" t="s">
        <v>5949</v>
      </c>
      <c r="T3054" s="23" t="s">
        <v>4929</v>
      </c>
      <c r="U3054" s="3">
        <v>34</v>
      </c>
      <c r="V3054" s="3" t="s">
        <v>6608</v>
      </c>
      <c r="W3054" s="45" t="str">
        <f>HYPERLINK("http://ictvonline.org/taxonomy/p/taxonomy-history?taxnode_id=201856818","ICTVonline=201856818")</f>
        <v>ICTVonline=201856818</v>
      </c>
      <c r="AA3054" s="1">
        <v>201850000</v>
      </c>
      <c r="AB3054" s="1">
        <v>34</v>
      </c>
    </row>
    <row r="3055" spans="1:28" x14ac:dyDescent="0.15">
      <c r="A3055" s="1">
        <v>7815</v>
      </c>
      <c r="J3055" s="1" t="s">
        <v>1332</v>
      </c>
      <c r="L3055" s="1" t="s">
        <v>901</v>
      </c>
      <c r="N3055" s="1" t="s">
        <v>6606</v>
      </c>
      <c r="P3055" s="1" t="s">
        <v>6610</v>
      </c>
      <c r="Q3055" s="3">
        <v>0</v>
      </c>
      <c r="S3055" s="23" t="s">
        <v>5949</v>
      </c>
      <c r="T3055" s="23" t="s">
        <v>4929</v>
      </c>
      <c r="U3055" s="3">
        <v>34</v>
      </c>
      <c r="V3055" s="3" t="s">
        <v>6608</v>
      </c>
      <c r="W3055" s="45" t="str">
        <f>HYPERLINK("http://ictvonline.org/taxonomy/p/taxonomy-history?taxnode_id=201856819","ICTVonline=201856819")</f>
        <v>ICTVonline=201856819</v>
      </c>
      <c r="AA3055" s="1">
        <v>201850000</v>
      </c>
      <c r="AB3055" s="1">
        <v>34</v>
      </c>
    </row>
    <row r="3056" spans="1:28" x14ac:dyDescent="0.15">
      <c r="A3056" s="1">
        <v>7817</v>
      </c>
      <c r="J3056" s="1" t="s">
        <v>1332</v>
      </c>
      <c r="L3056" s="1" t="s">
        <v>901</v>
      </c>
      <c r="N3056" s="1" t="s">
        <v>6606</v>
      </c>
      <c r="P3056" s="1" t="s">
        <v>6611</v>
      </c>
      <c r="Q3056" s="3">
        <v>0</v>
      </c>
      <c r="S3056" s="23" t="s">
        <v>5949</v>
      </c>
      <c r="T3056" s="23" t="s">
        <v>4929</v>
      </c>
      <c r="U3056" s="3">
        <v>34</v>
      </c>
      <c r="V3056" s="3" t="s">
        <v>6608</v>
      </c>
      <c r="W3056" s="45" t="str">
        <f>HYPERLINK("http://ictvonline.org/taxonomy/p/taxonomy-history?taxnode_id=201856820","ICTVonline=201856820")</f>
        <v>ICTVonline=201856820</v>
      </c>
      <c r="AA3056" s="1">
        <v>201850000</v>
      </c>
      <c r="AB3056" s="1">
        <v>34</v>
      </c>
    </row>
    <row r="3057" spans="1:28" x14ac:dyDescent="0.15">
      <c r="A3057" s="1">
        <v>7821</v>
      </c>
      <c r="J3057" s="1" t="s">
        <v>1332</v>
      </c>
      <c r="L3057" s="1" t="s">
        <v>901</v>
      </c>
      <c r="N3057" s="1" t="s">
        <v>6612</v>
      </c>
      <c r="P3057" s="1" t="s">
        <v>6613</v>
      </c>
      <c r="Q3057" s="3">
        <v>1</v>
      </c>
      <c r="S3057" s="23" t="s">
        <v>5949</v>
      </c>
      <c r="T3057" s="23" t="s">
        <v>4929</v>
      </c>
      <c r="U3057" s="3">
        <v>34</v>
      </c>
      <c r="V3057" s="3" t="s">
        <v>6614</v>
      </c>
      <c r="W3057" s="45" t="str">
        <f>HYPERLINK("http://ictvonline.org/taxonomy/p/taxonomy-history?taxnode_id=201856424","ICTVonline=201856424")</f>
        <v>ICTVonline=201856424</v>
      </c>
      <c r="AA3057" s="1">
        <v>201850000</v>
      </c>
      <c r="AB3057" s="1">
        <v>34</v>
      </c>
    </row>
    <row r="3058" spans="1:28" x14ac:dyDescent="0.15">
      <c r="A3058" s="1">
        <v>7825</v>
      </c>
      <c r="J3058" s="1" t="s">
        <v>1332</v>
      </c>
      <c r="L3058" s="1" t="s">
        <v>901</v>
      </c>
      <c r="N3058" s="1" t="s">
        <v>6615</v>
      </c>
      <c r="P3058" s="1" t="s">
        <v>6616</v>
      </c>
      <c r="Q3058" s="3">
        <v>1</v>
      </c>
      <c r="S3058" s="23" t="s">
        <v>5949</v>
      </c>
      <c r="T3058" s="23" t="s">
        <v>4929</v>
      </c>
      <c r="U3058" s="3">
        <v>34</v>
      </c>
      <c r="V3058" s="3" t="s">
        <v>6617</v>
      </c>
      <c r="W3058" s="45" t="str">
        <f>HYPERLINK("http://ictvonline.org/taxonomy/p/taxonomy-history?taxnode_id=201856560","ICTVonline=201856560")</f>
        <v>ICTVonline=201856560</v>
      </c>
      <c r="AA3058" s="1">
        <v>201850000</v>
      </c>
      <c r="AB3058" s="1">
        <v>34</v>
      </c>
    </row>
    <row r="3059" spans="1:28" x14ac:dyDescent="0.15">
      <c r="A3059" s="1">
        <v>7829</v>
      </c>
      <c r="J3059" s="1" t="s">
        <v>1332</v>
      </c>
      <c r="L3059" s="1" t="s">
        <v>901</v>
      </c>
      <c r="N3059" s="1" t="s">
        <v>6618</v>
      </c>
      <c r="P3059" s="1" t="s">
        <v>3206</v>
      </c>
      <c r="Q3059" s="3">
        <v>0</v>
      </c>
      <c r="S3059" s="23" t="s">
        <v>5949</v>
      </c>
      <c r="T3059" s="23" t="s">
        <v>4931</v>
      </c>
      <c r="U3059" s="3">
        <v>34</v>
      </c>
      <c r="W3059" s="45" t="str">
        <f>HYPERLINK("http://ictvonline.org/taxonomy/p/taxonomy-history?taxnode_id=201851009","ICTVonline=201851009")</f>
        <v>ICTVonline=201851009</v>
      </c>
      <c r="AA3059" s="1">
        <v>201850000</v>
      </c>
      <c r="AB3059" s="1">
        <v>34</v>
      </c>
    </row>
    <row r="3060" spans="1:28" x14ac:dyDescent="0.15">
      <c r="A3060" s="1">
        <v>7831</v>
      </c>
      <c r="J3060" s="1" t="s">
        <v>1332</v>
      </c>
      <c r="L3060" s="1" t="s">
        <v>901</v>
      </c>
      <c r="N3060" s="1" t="s">
        <v>6618</v>
      </c>
      <c r="P3060" s="1" t="s">
        <v>3207</v>
      </c>
      <c r="Q3060" s="3">
        <v>0</v>
      </c>
      <c r="S3060" s="23" t="s">
        <v>5949</v>
      </c>
      <c r="T3060" s="23" t="s">
        <v>4931</v>
      </c>
      <c r="U3060" s="3">
        <v>34</v>
      </c>
      <c r="W3060" s="45" t="str">
        <f>HYPERLINK("http://ictvonline.org/taxonomy/p/taxonomy-history?taxnode_id=201851010","ICTVonline=201851010")</f>
        <v>ICTVonline=201851010</v>
      </c>
      <c r="AA3060" s="1">
        <v>201850000</v>
      </c>
      <c r="AB3060" s="1">
        <v>34</v>
      </c>
    </row>
    <row r="3061" spans="1:28" x14ac:dyDescent="0.15">
      <c r="A3061" s="1">
        <v>7833</v>
      </c>
      <c r="J3061" s="1" t="s">
        <v>1332</v>
      </c>
      <c r="L3061" s="1" t="s">
        <v>901</v>
      </c>
      <c r="N3061" s="1" t="s">
        <v>6618</v>
      </c>
      <c r="P3061" s="1" t="s">
        <v>3208</v>
      </c>
      <c r="Q3061" s="3">
        <v>0</v>
      </c>
      <c r="S3061" s="23" t="s">
        <v>5949</v>
      </c>
      <c r="T3061" s="23" t="s">
        <v>4931</v>
      </c>
      <c r="U3061" s="3">
        <v>34</v>
      </c>
      <c r="W3061" s="45" t="str">
        <f>HYPERLINK("http://ictvonline.org/taxonomy/p/taxonomy-history?taxnode_id=201851011","ICTVonline=201851011")</f>
        <v>ICTVonline=201851011</v>
      </c>
      <c r="AA3061" s="1">
        <v>201850000</v>
      </c>
      <c r="AB3061" s="1">
        <v>34</v>
      </c>
    </row>
    <row r="3062" spans="1:28" x14ac:dyDescent="0.15">
      <c r="A3062" s="1">
        <v>7835</v>
      </c>
      <c r="J3062" s="1" t="s">
        <v>1332</v>
      </c>
      <c r="L3062" s="1" t="s">
        <v>901</v>
      </c>
      <c r="N3062" s="1" t="s">
        <v>6618</v>
      </c>
      <c r="P3062" s="1" t="s">
        <v>3209</v>
      </c>
      <c r="Q3062" s="3">
        <v>0</v>
      </c>
      <c r="S3062" s="23" t="s">
        <v>5949</v>
      </c>
      <c r="T3062" s="23" t="s">
        <v>4931</v>
      </c>
      <c r="U3062" s="3">
        <v>34</v>
      </c>
      <c r="W3062" s="45" t="str">
        <f>HYPERLINK("http://ictvonline.org/taxonomy/p/taxonomy-history?taxnode_id=201851012","ICTVonline=201851012")</f>
        <v>ICTVonline=201851012</v>
      </c>
      <c r="AA3062" s="1">
        <v>201850000</v>
      </c>
      <c r="AB3062" s="1">
        <v>34</v>
      </c>
    </row>
    <row r="3063" spans="1:28" x14ac:dyDescent="0.15">
      <c r="A3063" s="1">
        <v>7837</v>
      </c>
      <c r="J3063" s="1" t="s">
        <v>1332</v>
      </c>
      <c r="L3063" s="1" t="s">
        <v>901</v>
      </c>
      <c r="N3063" s="1" t="s">
        <v>6618</v>
      </c>
      <c r="P3063" s="1" t="s">
        <v>3210</v>
      </c>
      <c r="Q3063" s="3">
        <v>0</v>
      </c>
      <c r="S3063" s="23" t="s">
        <v>5949</v>
      </c>
      <c r="T3063" s="23" t="s">
        <v>4931</v>
      </c>
      <c r="U3063" s="3">
        <v>34</v>
      </c>
      <c r="W3063" s="45" t="str">
        <f>HYPERLINK("http://ictvonline.org/taxonomy/p/taxonomy-history?taxnode_id=201851014","ICTVonline=201851014")</f>
        <v>ICTVonline=201851014</v>
      </c>
      <c r="AA3063" s="1">
        <v>201850000</v>
      </c>
      <c r="AB3063" s="1">
        <v>34</v>
      </c>
    </row>
    <row r="3064" spans="1:28" x14ac:dyDescent="0.15">
      <c r="A3064" s="1">
        <v>7839</v>
      </c>
      <c r="J3064" s="1" t="s">
        <v>1332</v>
      </c>
      <c r="L3064" s="1" t="s">
        <v>901</v>
      </c>
      <c r="N3064" s="1" t="s">
        <v>6618</v>
      </c>
      <c r="P3064" s="1" t="s">
        <v>3211</v>
      </c>
      <c r="Q3064" s="3">
        <v>0</v>
      </c>
      <c r="S3064" s="23" t="s">
        <v>5949</v>
      </c>
      <c r="T3064" s="23" t="s">
        <v>4931</v>
      </c>
      <c r="U3064" s="3">
        <v>34</v>
      </c>
      <c r="W3064" s="45" t="str">
        <f>HYPERLINK("http://ictvonline.org/taxonomy/p/taxonomy-history?taxnode_id=201851015","ICTVonline=201851015")</f>
        <v>ICTVonline=201851015</v>
      </c>
      <c r="AA3064" s="1">
        <v>201850000</v>
      </c>
      <c r="AB3064" s="1">
        <v>34</v>
      </c>
    </row>
    <row r="3065" spans="1:28" x14ac:dyDescent="0.15">
      <c r="A3065" s="1">
        <v>7841</v>
      </c>
      <c r="J3065" s="1" t="s">
        <v>1332</v>
      </c>
      <c r="L3065" s="1" t="s">
        <v>901</v>
      </c>
      <c r="N3065" s="1" t="s">
        <v>6618</v>
      </c>
      <c r="P3065" s="1" t="s">
        <v>3212</v>
      </c>
      <c r="Q3065" s="3">
        <v>0</v>
      </c>
      <c r="S3065" s="23" t="s">
        <v>5949</v>
      </c>
      <c r="T3065" s="23" t="s">
        <v>4931</v>
      </c>
      <c r="U3065" s="3">
        <v>34</v>
      </c>
      <c r="W3065" s="45" t="str">
        <f>HYPERLINK("http://ictvonline.org/taxonomy/p/taxonomy-history?taxnode_id=201851016","ICTVonline=201851016")</f>
        <v>ICTVonline=201851016</v>
      </c>
      <c r="AA3065" s="1">
        <v>201850000</v>
      </c>
      <c r="AB3065" s="1">
        <v>34</v>
      </c>
    </row>
    <row r="3066" spans="1:28" x14ac:dyDescent="0.15">
      <c r="A3066" s="1">
        <v>7843</v>
      </c>
      <c r="J3066" s="1" t="s">
        <v>1332</v>
      </c>
      <c r="L3066" s="1" t="s">
        <v>901</v>
      </c>
      <c r="N3066" s="1" t="s">
        <v>6618</v>
      </c>
      <c r="P3066" s="1" t="s">
        <v>6619</v>
      </c>
      <c r="Q3066" s="3">
        <v>0</v>
      </c>
      <c r="S3066" s="23" t="s">
        <v>5949</v>
      </c>
      <c r="T3066" s="23" t="s">
        <v>4930</v>
      </c>
      <c r="U3066" s="3">
        <v>34</v>
      </c>
      <c r="V3066" s="3" t="s">
        <v>6544</v>
      </c>
      <c r="W3066" s="45" t="str">
        <f>HYPERLINK("http://ictvonline.org/taxonomy/p/taxonomy-history?taxnode_id=201851013","ICTVonline=201851013")</f>
        <v>ICTVonline=201851013</v>
      </c>
      <c r="AA3066" s="1">
        <v>201850000</v>
      </c>
      <c r="AB3066" s="1">
        <v>34</v>
      </c>
    </row>
    <row r="3067" spans="1:28" x14ac:dyDescent="0.15">
      <c r="A3067" s="1">
        <v>7845</v>
      </c>
      <c r="J3067" s="1" t="s">
        <v>1332</v>
      </c>
      <c r="L3067" s="1" t="s">
        <v>901</v>
      </c>
      <c r="N3067" s="1" t="s">
        <v>6618</v>
      </c>
      <c r="P3067" s="1" t="s">
        <v>3213</v>
      </c>
      <c r="Q3067" s="3">
        <v>0</v>
      </c>
      <c r="S3067" s="23" t="s">
        <v>5949</v>
      </c>
      <c r="T3067" s="23" t="s">
        <v>4931</v>
      </c>
      <c r="U3067" s="3">
        <v>34</v>
      </c>
      <c r="W3067" s="45" t="str">
        <f>HYPERLINK("http://ictvonline.org/taxonomy/p/taxonomy-history?taxnode_id=201851017","ICTVonline=201851017")</f>
        <v>ICTVonline=201851017</v>
      </c>
      <c r="AA3067" s="1">
        <v>201850000</v>
      </c>
      <c r="AB3067" s="1">
        <v>34</v>
      </c>
    </row>
    <row r="3068" spans="1:28" x14ac:dyDescent="0.15">
      <c r="A3068" s="1">
        <v>7847</v>
      </c>
      <c r="J3068" s="1" t="s">
        <v>1332</v>
      </c>
      <c r="L3068" s="1" t="s">
        <v>901</v>
      </c>
      <c r="N3068" s="1" t="s">
        <v>6618</v>
      </c>
      <c r="P3068" s="1" t="s">
        <v>3214</v>
      </c>
      <c r="Q3068" s="3">
        <v>0</v>
      </c>
      <c r="S3068" s="23" t="s">
        <v>5949</v>
      </c>
      <c r="T3068" s="23" t="s">
        <v>4931</v>
      </c>
      <c r="U3068" s="3">
        <v>34</v>
      </c>
      <c r="W3068" s="45" t="str">
        <f>HYPERLINK("http://ictvonline.org/taxonomy/p/taxonomy-history?taxnode_id=201851018","ICTVonline=201851018")</f>
        <v>ICTVonline=201851018</v>
      </c>
      <c r="AA3068" s="1">
        <v>201850000</v>
      </c>
      <c r="AB3068" s="1">
        <v>34</v>
      </c>
    </row>
    <row r="3069" spans="1:28" x14ac:dyDescent="0.15">
      <c r="A3069" s="1">
        <v>7849</v>
      </c>
      <c r="J3069" s="1" t="s">
        <v>1332</v>
      </c>
      <c r="L3069" s="1" t="s">
        <v>901</v>
      </c>
      <c r="N3069" s="1" t="s">
        <v>6618</v>
      </c>
      <c r="P3069" s="1" t="s">
        <v>3215</v>
      </c>
      <c r="Q3069" s="3">
        <v>0</v>
      </c>
      <c r="S3069" s="23" t="s">
        <v>5949</v>
      </c>
      <c r="T3069" s="23" t="s">
        <v>4931</v>
      </c>
      <c r="U3069" s="3">
        <v>34</v>
      </c>
      <c r="W3069" s="45" t="str">
        <f>HYPERLINK("http://ictvonline.org/taxonomy/p/taxonomy-history?taxnode_id=201851019","ICTVonline=201851019")</f>
        <v>ICTVonline=201851019</v>
      </c>
      <c r="AA3069" s="1">
        <v>201850000</v>
      </c>
      <c r="AB3069" s="1">
        <v>34</v>
      </c>
    </row>
    <row r="3070" spans="1:28" x14ac:dyDescent="0.15">
      <c r="A3070" s="1">
        <v>7851</v>
      </c>
      <c r="J3070" s="1" t="s">
        <v>1332</v>
      </c>
      <c r="L3070" s="1" t="s">
        <v>901</v>
      </c>
      <c r="N3070" s="1" t="s">
        <v>6618</v>
      </c>
      <c r="P3070" s="1" t="s">
        <v>3216</v>
      </c>
      <c r="Q3070" s="3">
        <v>0</v>
      </c>
      <c r="S3070" s="23" t="s">
        <v>5949</v>
      </c>
      <c r="T3070" s="23" t="s">
        <v>4931</v>
      </c>
      <c r="U3070" s="3">
        <v>34</v>
      </c>
      <c r="W3070" s="45" t="str">
        <f>HYPERLINK("http://ictvonline.org/taxonomy/p/taxonomy-history?taxnode_id=201851020","ICTVonline=201851020")</f>
        <v>ICTVonline=201851020</v>
      </c>
      <c r="AA3070" s="1">
        <v>201850000</v>
      </c>
      <c r="AB3070" s="1">
        <v>34</v>
      </c>
    </row>
    <row r="3071" spans="1:28" x14ac:dyDescent="0.15">
      <c r="A3071" s="1">
        <v>7853</v>
      </c>
      <c r="J3071" s="1" t="s">
        <v>1332</v>
      </c>
      <c r="L3071" s="1" t="s">
        <v>901</v>
      </c>
      <c r="N3071" s="1" t="s">
        <v>6618</v>
      </c>
      <c r="P3071" s="1" t="s">
        <v>3217</v>
      </c>
      <c r="Q3071" s="3">
        <v>0</v>
      </c>
      <c r="S3071" s="23" t="s">
        <v>5949</v>
      </c>
      <c r="T3071" s="23" t="s">
        <v>4931</v>
      </c>
      <c r="U3071" s="3">
        <v>34</v>
      </c>
      <c r="W3071" s="45" t="str">
        <f>HYPERLINK("http://ictvonline.org/taxonomy/p/taxonomy-history?taxnode_id=201851021","ICTVonline=201851021")</f>
        <v>ICTVonline=201851021</v>
      </c>
      <c r="AA3071" s="1">
        <v>201850000</v>
      </c>
      <c r="AB3071" s="1">
        <v>34</v>
      </c>
    </row>
    <row r="3072" spans="1:28" x14ac:dyDescent="0.15">
      <c r="A3072" s="1">
        <v>7855</v>
      </c>
      <c r="J3072" s="1" t="s">
        <v>1332</v>
      </c>
      <c r="L3072" s="1" t="s">
        <v>901</v>
      </c>
      <c r="N3072" s="1" t="s">
        <v>6618</v>
      </c>
      <c r="P3072" s="1" t="s">
        <v>3218</v>
      </c>
      <c r="Q3072" s="3">
        <v>0</v>
      </c>
      <c r="S3072" s="23" t="s">
        <v>5949</v>
      </c>
      <c r="T3072" s="23" t="s">
        <v>4931</v>
      </c>
      <c r="U3072" s="3">
        <v>34</v>
      </c>
      <c r="W3072" s="45" t="str">
        <f>HYPERLINK("http://ictvonline.org/taxonomy/p/taxonomy-history?taxnode_id=201851022","ICTVonline=201851022")</f>
        <v>ICTVonline=201851022</v>
      </c>
      <c r="AA3072" s="1">
        <v>201850000</v>
      </c>
      <c r="AB3072" s="1">
        <v>34</v>
      </c>
    </row>
    <row r="3073" spans="1:28" x14ac:dyDescent="0.15">
      <c r="A3073" s="1">
        <v>7857</v>
      </c>
      <c r="J3073" s="1" t="s">
        <v>1332</v>
      </c>
      <c r="L3073" s="1" t="s">
        <v>901</v>
      </c>
      <c r="N3073" s="1" t="s">
        <v>6618</v>
      </c>
      <c r="P3073" s="1" t="s">
        <v>3219</v>
      </c>
      <c r="Q3073" s="3">
        <v>0</v>
      </c>
      <c r="S3073" s="23" t="s">
        <v>5949</v>
      </c>
      <c r="T3073" s="23" t="s">
        <v>4931</v>
      </c>
      <c r="U3073" s="3">
        <v>34</v>
      </c>
      <c r="W3073" s="45" t="str">
        <f>HYPERLINK("http://ictvonline.org/taxonomy/p/taxonomy-history?taxnode_id=201851023","ICTVonline=201851023")</f>
        <v>ICTVonline=201851023</v>
      </c>
      <c r="AA3073" s="1">
        <v>201850000</v>
      </c>
      <c r="AB3073" s="1">
        <v>34</v>
      </c>
    </row>
    <row r="3074" spans="1:28" x14ac:dyDescent="0.15">
      <c r="A3074" s="1">
        <v>7859</v>
      </c>
      <c r="J3074" s="1" t="s">
        <v>1332</v>
      </c>
      <c r="L3074" s="1" t="s">
        <v>901</v>
      </c>
      <c r="N3074" s="1" t="s">
        <v>6618</v>
      </c>
      <c r="P3074" s="1" t="s">
        <v>3220</v>
      </c>
      <c r="Q3074" s="3">
        <v>0</v>
      </c>
      <c r="S3074" s="23" t="s">
        <v>5949</v>
      </c>
      <c r="T3074" s="23" t="s">
        <v>4931</v>
      </c>
      <c r="U3074" s="3">
        <v>34</v>
      </c>
      <c r="W3074" s="45" t="str">
        <f>HYPERLINK("http://ictvonline.org/taxonomy/p/taxonomy-history?taxnode_id=201851024","ICTVonline=201851024")</f>
        <v>ICTVonline=201851024</v>
      </c>
      <c r="AA3074" s="1">
        <v>201850000</v>
      </c>
      <c r="AB3074" s="1">
        <v>34</v>
      </c>
    </row>
    <row r="3075" spans="1:28" x14ac:dyDescent="0.15">
      <c r="A3075" s="1">
        <v>7861</v>
      </c>
      <c r="J3075" s="1" t="s">
        <v>1332</v>
      </c>
      <c r="L3075" s="1" t="s">
        <v>901</v>
      </c>
      <c r="N3075" s="1" t="s">
        <v>6618</v>
      </c>
      <c r="P3075" s="1" t="s">
        <v>3221</v>
      </c>
      <c r="Q3075" s="3">
        <v>0</v>
      </c>
      <c r="S3075" s="23" t="s">
        <v>5949</v>
      </c>
      <c r="T3075" s="23" t="s">
        <v>4931</v>
      </c>
      <c r="U3075" s="3">
        <v>34</v>
      </c>
      <c r="W3075" s="45" t="str">
        <f>HYPERLINK("http://ictvonline.org/taxonomy/p/taxonomy-history?taxnode_id=201851025","ICTVonline=201851025")</f>
        <v>ICTVonline=201851025</v>
      </c>
      <c r="AA3075" s="1">
        <v>201850000</v>
      </c>
      <c r="AB3075" s="1">
        <v>34</v>
      </c>
    </row>
    <row r="3076" spans="1:28" x14ac:dyDescent="0.15">
      <c r="A3076" s="1">
        <v>7863</v>
      </c>
      <c r="J3076" s="1" t="s">
        <v>1332</v>
      </c>
      <c r="L3076" s="1" t="s">
        <v>901</v>
      </c>
      <c r="N3076" s="1" t="s">
        <v>6618</v>
      </c>
      <c r="P3076" s="1" t="s">
        <v>3222</v>
      </c>
      <c r="Q3076" s="3">
        <v>0</v>
      </c>
      <c r="S3076" s="23" t="s">
        <v>5949</v>
      </c>
      <c r="T3076" s="23" t="s">
        <v>4931</v>
      </c>
      <c r="U3076" s="3">
        <v>34</v>
      </c>
      <c r="W3076" s="45" t="str">
        <f>HYPERLINK("http://ictvonline.org/taxonomy/p/taxonomy-history?taxnode_id=201851026","ICTVonline=201851026")</f>
        <v>ICTVonline=201851026</v>
      </c>
      <c r="AA3076" s="1">
        <v>201850000</v>
      </c>
      <c r="AB3076" s="1">
        <v>34</v>
      </c>
    </row>
    <row r="3077" spans="1:28" x14ac:dyDescent="0.15">
      <c r="A3077" s="1">
        <v>7865</v>
      </c>
      <c r="J3077" s="1" t="s">
        <v>1332</v>
      </c>
      <c r="L3077" s="1" t="s">
        <v>901</v>
      </c>
      <c r="N3077" s="1" t="s">
        <v>6618</v>
      </c>
      <c r="P3077" s="1" t="s">
        <v>3223</v>
      </c>
      <c r="Q3077" s="3">
        <v>0</v>
      </c>
      <c r="S3077" s="23" t="s">
        <v>5949</v>
      </c>
      <c r="T3077" s="23" t="s">
        <v>4931</v>
      </c>
      <c r="U3077" s="3">
        <v>34</v>
      </c>
      <c r="W3077" s="45" t="str">
        <f>HYPERLINK("http://ictvonline.org/taxonomy/p/taxonomy-history?taxnode_id=201851027","ICTVonline=201851027")</f>
        <v>ICTVonline=201851027</v>
      </c>
      <c r="AA3077" s="1">
        <v>201850000</v>
      </c>
      <c r="AB3077" s="1">
        <v>34</v>
      </c>
    </row>
    <row r="3078" spans="1:28" x14ac:dyDescent="0.15">
      <c r="A3078" s="1">
        <v>7867</v>
      </c>
      <c r="J3078" s="1" t="s">
        <v>1332</v>
      </c>
      <c r="L3078" s="1" t="s">
        <v>901</v>
      </c>
      <c r="N3078" s="1" t="s">
        <v>6618</v>
      </c>
      <c r="P3078" s="1" t="s">
        <v>3224</v>
      </c>
      <c r="Q3078" s="3">
        <v>0</v>
      </c>
      <c r="S3078" s="23" t="s">
        <v>5949</v>
      </c>
      <c r="T3078" s="23" t="s">
        <v>4931</v>
      </c>
      <c r="U3078" s="3">
        <v>34</v>
      </c>
      <c r="W3078" s="45" t="str">
        <f>HYPERLINK("http://ictvonline.org/taxonomy/p/taxonomy-history?taxnode_id=201851028","ICTVonline=201851028")</f>
        <v>ICTVonline=201851028</v>
      </c>
      <c r="AA3078" s="1">
        <v>201850000</v>
      </c>
      <c r="AB3078" s="1">
        <v>34</v>
      </c>
    </row>
    <row r="3079" spans="1:28" x14ac:dyDescent="0.15">
      <c r="A3079" s="1">
        <v>7869</v>
      </c>
      <c r="J3079" s="1" t="s">
        <v>1332</v>
      </c>
      <c r="L3079" s="1" t="s">
        <v>901</v>
      </c>
      <c r="N3079" s="1" t="s">
        <v>6618</v>
      </c>
      <c r="P3079" s="1" t="s">
        <v>3225</v>
      </c>
      <c r="Q3079" s="3">
        <v>0</v>
      </c>
      <c r="S3079" s="23" t="s">
        <v>5949</v>
      </c>
      <c r="T3079" s="23" t="s">
        <v>4931</v>
      </c>
      <c r="U3079" s="3">
        <v>34</v>
      </c>
      <c r="W3079" s="45" t="str">
        <f>HYPERLINK("http://ictvonline.org/taxonomy/p/taxonomy-history?taxnode_id=201851029","ICTVonline=201851029")</f>
        <v>ICTVonline=201851029</v>
      </c>
      <c r="AA3079" s="1">
        <v>201850000</v>
      </c>
      <c r="AB3079" s="1">
        <v>34</v>
      </c>
    </row>
    <row r="3080" spans="1:28" x14ac:dyDescent="0.15">
      <c r="A3080" s="1">
        <v>7871</v>
      </c>
      <c r="J3080" s="1" t="s">
        <v>1332</v>
      </c>
      <c r="L3080" s="1" t="s">
        <v>901</v>
      </c>
      <c r="N3080" s="1" t="s">
        <v>6618</v>
      </c>
      <c r="P3080" s="1" t="s">
        <v>3226</v>
      </c>
      <c r="Q3080" s="3">
        <v>0</v>
      </c>
      <c r="S3080" s="23" t="s">
        <v>5949</v>
      </c>
      <c r="T3080" s="23" t="s">
        <v>4931</v>
      </c>
      <c r="U3080" s="3">
        <v>34</v>
      </c>
      <c r="W3080" s="45" t="str">
        <f>HYPERLINK("http://ictvonline.org/taxonomy/p/taxonomy-history?taxnode_id=201851030","ICTVonline=201851030")</f>
        <v>ICTVonline=201851030</v>
      </c>
      <c r="AA3080" s="1">
        <v>201850000</v>
      </c>
      <c r="AB3080" s="1">
        <v>34</v>
      </c>
    </row>
    <row r="3081" spans="1:28" x14ac:dyDescent="0.15">
      <c r="A3081" s="1">
        <v>7873</v>
      </c>
      <c r="J3081" s="1" t="s">
        <v>1332</v>
      </c>
      <c r="L3081" s="1" t="s">
        <v>901</v>
      </c>
      <c r="N3081" s="1" t="s">
        <v>6618</v>
      </c>
      <c r="P3081" s="1" t="s">
        <v>3227</v>
      </c>
      <c r="Q3081" s="3">
        <v>0</v>
      </c>
      <c r="S3081" s="23" t="s">
        <v>5949</v>
      </c>
      <c r="T3081" s="23" t="s">
        <v>4931</v>
      </c>
      <c r="U3081" s="3">
        <v>34</v>
      </c>
      <c r="W3081" s="45" t="str">
        <f>HYPERLINK("http://ictvonline.org/taxonomy/p/taxonomy-history?taxnode_id=201851031","ICTVonline=201851031")</f>
        <v>ICTVonline=201851031</v>
      </c>
      <c r="AA3081" s="1">
        <v>201850000</v>
      </c>
      <c r="AB3081" s="1">
        <v>34</v>
      </c>
    </row>
    <row r="3082" spans="1:28" x14ac:dyDescent="0.15">
      <c r="A3082" s="1">
        <v>7875</v>
      </c>
      <c r="J3082" s="1" t="s">
        <v>1332</v>
      </c>
      <c r="L3082" s="1" t="s">
        <v>901</v>
      </c>
      <c r="N3082" s="1" t="s">
        <v>6618</v>
      </c>
      <c r="P3082" s="1" t="s">
        <v>3228</v>
      </c>
      <c r="Q3082" s="3">
        <v>0</v>
      </c>
      <c r="S3082" s="23" t="s">
        <v>5949</v>
      </c>
      <c r="T3082" s="23" t="s">
        <v>4931</v>
      </c>
      <c r="U3082" s="3">
        <v>34</v>
      </c>
      <c r="W3082" s="45" t="str">
        <f>HYPERLINK("http://ictvonline.org/taxonomy/p/taxonomy-history?taxnode_id=201851032","ICTVonline=201851032")</f>
        <v>ICTVonline=201851032</v>
      </c>
      <c r="AA3082" s="1">
        <v>201850000</v>
      </c>
      <c r="AB3082" s="1">
        <v>34</v>
      </c>
    </row>
    <row r="3083" spans="1:28" x14ac:dyDescent="0.15">
      <c r="A3083" s="1">
        <v>7877</v>
      </c>
      <c r="J3083" s="1" t="s">
        <v>1332</v>
      </c>
      <c r="L3083" s="1" t="s">
        <v>901</v>
      </c>
      <c r="N3083" s="1" t="s">
        <v>6618</v>
      </c>
      <c r="P3083" s="1" t="s">
        <v>3229</v>
      </c>
      <c r="Q3083" s="3">
        <v>0</v>
      </c>
      <c r="S3083" s="23" t="s">
        <v>5949</v>
      </c>
      <c r="T3083" s="23" t="s">
        <v>4931</v>
      </c>
      <c r="U3083" s="3">
        <v>34</v>
      </c>
      <c r="W3083" s="45" t="str">
        <f>HYPERLINK("http://ictvonline.org/taxonomy/p/taxonomy-history?taxnode_id=201851033","ICTVonline=201851033")</f>
        <v>ICTVonline=201851033</v>
      </c>
      <c r="AA3083" s="1">
        <v>201850000</v>
      </c>
      <c r="AB3083" s="1">
        <v>34</v>
      </c>
    </row>
    <row r="3084" spans="1:28" x14ac:dyDescent="0.15">
      <c r="A3084" s="1">
        <v>7879</v>
      </c>
      <c r="J3084" s="1" t="s">
        <v>1332</v>
      </c>
      <c r="L3084" s="1" t="s">
        <v>901</v>
      </c>
      <c r="N3084" s="1" t="s">
        <v>6618</v>
      </c>
      <c r="P3084" s="1" t="s">
        <v>3230</v>
      </c>
      <c r="Q3084" s="3">
        <v>0</v>
      </c>
      <c r="S3084" s="23" t="s">
        <v>5949</v>
      </c>
      <c r="T3084" s="23" t="s">
        <v>4931</v>
      </c>
      <c r="U3084" s="3">
        <v>34</v>
      </c>
      <c r="W3084" s="45" t="str">
        <f>HYPERLINK("http://ictvonline.org/taxonomy/p/taxonomy-history?taxnode_id=201851034","ICTVonline=201851034")</f>
        <v>ICTVonline=201851034</v>
      </c>
      <c r="AA3084" s="1">
        <v>201850000</v>
      </c>
      <c r="AB3084" s="1">
        <v>34</v>
      </c>
    </row>
    <row r="3085" spans="1:28" x14ac:dyDescent="0.15">
      <c r="A3085" s="1">
        <v>7881</v>
      </c>
      <c r="J3085" s="1" t="s">
        <v>1332</v>
      </c>
      <c r="L3085" s="1" t="s">
        <v>901</v>
      </c>
      <c r="N3085" s="1" t="s">
        <v>6618</v>
      </c>
      <c r="P3085" s="1" t="s">
        <v>3231</v>
      </c>
      <c r="Q3085" s="3">
        <v>0</v>
      </c>
      <c r="S3085" s="23" t="s">
        <v>5949</v>
      </c>
      <c r="T3085" s="23" t="s">
        <v>4931</v>
      </c>
      <c r="U3085" s="3">
        <v>34</v>
      </c>
      <c r="W3085" s="45" t="str">
        <f>HYPERLINK("http://ictvonline.org/taxonomy/p/taxonomy-history?taxnode_id=201851035","ICTVonline=201851035")</f>
        <v>ICTVonline=201851035</v>
      </c>
      <c r="AA3085" s="1">
        <v>201850000</v>
      </c>
      <c r="AB3085" s="1">
        <v>34</v>
      </c>
    </row>
    <row r="3086" spans="1:28" x14ac:dyDescent="0.15">
      <c r="A3086" s="1">
        <v>7883</v>
      </c>
      <c r="J3086" s="1" t="s">
        <v>1332</v>
      </c>
      <c r="L3086" s="1" t="s">
        <v>901</v>
      </c>
      <c r="N3086" s="1" t="s">
        <v>6618</v>
      </c>
      <c r="P3086" s="1" t="s">
        <v>3232</v>
      </c>
      <c r="Q3086" s="3">
        <v>0</v>
      </c>
      <c r="S3086" s="23" t="s">
        <v>5949</v>
      </c>
      <c r="T3086" s="23" t="s">
        <v>4931</v>
      </c>
      <c r="U3086" s="3">
        <v>34</v>
      </c>
      <c r="V3086" s="3" t="s">
        <v>6561</v>
      </c>
      <c r="W3086" s="45" t="str">
        <f>HYPERLINK("http://ictvonline.org/taxonomy/p/taxonomy-history?taxnode_id=201851036","ICTVonline=201851036")</f>
        <v>ICTVonline=201851036</v>
      </c>
      <c r="AA3086" s="1">
        <v>201850000</v>
      </c>
      <c r="AB3086" s="1">
        <v>34</v>
      </c>
    </row>
    <row r="3087" spans="1:28" x14ac:dyDescent="0.15">
      <c r="A3087" s="1">
        <v>7885</v>
      </c>
      <c r="J3087" s="1" t="s">
        <v>1332</v>
      </c>
      <c r="L3087" s="1" t="s">
        <v>901</v>
      </c>
      <c r="N3087" s="1" t="s">
        <v>6618</v>
      </c>
      <c r="P3087" s="1" t="s">
        <v>3233</v>
      </c>
      <c r="Q3087" s="3">
        <v>0</v>
      </c>
      <c r="S3087" s="23" t="s">
        <v>5949</v>
      </c>
      <c r="T3087" s="23" t="s">
        <v>4931</v>
      </c>
      <c r="U3087" s="3">
        <v>34</v>
      </c>
      <c r="W3087" s="45" t="str">
        <f>HYPERLINK("http://ictvonline.org/taxonomy/p/taxonomy-history?taxnode_id=201851037","ICTVonline=201851037")</f>
        <v>ICTVonline=201851037</v>
      </c>
      <c r="AA3087" s="1">
        <v>201850000</v>
      </c>
      <c r="AB3087" s="1">
        <v>34</v>
      </c>
    </row>
    <row r="3088" spans="1:28" x14ac:dyDescent="0.15">
      <c r="A3088" s="1">
        <v>7887</v>
      </c>
      <c r="J3088" s="1" t="s">
        <v>1332</v>
      </c>
      <c r="L3088" s="1" t="s">
        <v>901</v>
      </c>
      <c r="N3088" s="1" t="s">
        <v>6618</v>
      </c>
      <c r="P3088" s="1" t="s">
        <v>3234</v>
      </c>
      <c r="Q3088" s="3">
        <v>1</v>
      </c>
      <c r="S3088" s="23" t="s">
        <v>5949</v>
      </c>
      <c r="T3088" s="23" t="s">
        <v>4931</v>
      </c>
      <c r="U3088" s="3">
        <v>34</v>
      </c>
      <c r="W3088" s="45" t="str">
        <f>HYPERLINK("http://ictvonline.org/taxonomy/p/taxonomy-history?taxnode_id=201851038","ICTVonline=201851038")</f>
        <v>ICTVonline=201851038</v>
      </c>
      <c r="AA3088" s="1">
        <v>201850000</v>
      </c>
      <c r="AB3088" s="1">
        <v>34</v>
      </c>
    </row>
    <row r="3089" spans="1:28" x14ac:dyDescent="0.15">
      <c r="A3089" s="1">
        <v>7889</v>
      </c>
      <c r="J3089" s="1" t="s">
        <v>1332</v>
      </c>
      <c r="L3089" s="1" t="s">
        <v>901</v>
      </c>
      <c r="N3089" s="1" t="s">
        <v>6618</v>
      </c>
      <c r="P3089" s="1" t="s">
        <v>3235</v>
      </c>
      <c r="Q3089" s="3">
        <v>0</v>
      </c>
      <c r="S3089" s="23" t="s">
        <v>5949</v>
      </c>
      <c r="T3089" s="23" t="s">
        <v>4931</v>
      </c>
      <c r="U3089" s="3">
        <v>34</v>
      </c>
      <c r="W3089" s="45" t="str">
        <f>HYPERLINK("http://ictvonline.org/taxonomy/p/taxonomy-history?taxnode_id=201851039","ICTVonline=201851039")</f>
        <v>ICTVonline=201851039</v>
      </c>
      <c r="AA3089" s="1">
        <v>201850000</v>
      </c>
      <c r="AB3089" s="1">
        <v>34</v>
      </c>
    </row>
    <row r="3090" spans="1:28" x14ac:dyDescent="0.15">
      <c r="A3090" s="1">
        <v>7891</v>
      </c>
      <c r="J3090" s="1" t="s">
        <v>1332</v>
      </c>
      <c r="L3090" s="1" t="s">
        <v>901</v>
      </c>
      <c r="N3090" s="1" t="s">
        <v>6618</v>
      </c>
      <c r="P3090" s="1" t="s">
        <v>3236</v>
      </c>
      <c r="Q3090" s="3">
        <v>0</v>
      </c>
      <c r="S3090" s="23" t="s">
        <v>5949</v>
      </c>
      <c r="T3090" s="23" t="s">
        <v>4931</v>
      </c>
      <c r="U3090" s="3">
        <v>34</v>
      </c>
      <c r="W3090" s="45" t="str">
        <f>HYPERLINK("http://ictvonline.org/taxonomy/p/taxonomy-history?taxnode_id=201851040","ICTVonline=201851040")</f>
        <v>ICTVonline=201851040</v>
      </c>
      <c r="AA3090" s="1">
        <v>201850000</v>
      </c>
      <c r="AB3090" s="1">
        <v>34</v>
      </c>
    </row>
    <row r="3091" spans="1:28" x14ac:dyDescent="0.15">
      <c r="A3091" s="1">
        <v>7893</v>
      </c>
      <c r="J3091" s="1" t="s">
        <v>1332</v>
      </c>
      <c r="L3091" s="1" t="s">
        <v>901</v>
      </c>
      <c r="N3091" s="1" t="s">
        <v>6618</v>
      </c>
      <c r="P3091" s="1" t="s">
        <v>3237</v>
      </c>
      <c r="Q3091" s="3">
        <v>0</v>
      </c>
      <c r="S3091" s="23" t="s">
        <v>5949</v>
      </c>
      <c r="T3091" s="23" t="s">
        <v>4931</v>
      </c>
      <c r="U3091" s="3">
        <v>34</v>
      </c>
      <c r="W3091" s="45" t="str">
        <f>HYPERLINK("http://ictvonline.org/taxonomy/p/taxonomy-history?taxnode_id=201851041","ICTVonline=201851041")</f>
        <v>ICTVonline=201851041</v>
      </c>
      <c r="AA3091" s="1">
        <v>201850000</v>
      </c>
      <c r="AB3091" s="1">
        <v>34</v>
      </c>
    </row>
    <row r="3092" spans="1:28" x14ac:dyDescent="0.15">
      <c r="A3092" s="1">
        <v>7895</v>
      </c>
      <c r="J3092" s="1" t="s">
        <v>1332</v>
      </c>
      <c r="L3092" s="1" t="s">
        <v>901</v>
      </c>
      <c r="N3092" s="1" t="s">
        <v>6618</v>
      </c>
      <c r="P3092" s="1" t="s">
        <v>3238</v>
      </c>
      <c r="Q3092" s="3">
        <v>0</v>
      </c>
      <c r="S3092" s="23" t="s">
        <v>5949</v>
      </c>
      <c r="T3092" s="23" t="s">
        <v>4931</v>
      </c>
      <c r="U3092" s="3">
        <v>34</v>
      </c>
      <c r="W3092" s="45" t="str">
        <f>HYPERLINK("http://ictvonline.org/taxonomy/p/taxonomy-history?taxnode_id=201851042","ICTVonline=201851042")</f>
        <v>ICTVonline=201851042</v>
      </c>
      <c r="AA3092" s="1">
        <v>201850000</v>
      </c>
      <c r="AB3092" s="1">
        <v>34</v>
      </c>
    </row>
    <row r="3093" spans="1:28" x14ac:dyDescent="0.15">
      <c r="A3093" s="1">
        <v>7897</v>
      </c>
      <c r="J3093" s="1" t="s">
        <v>1332</v>
      </c>
      <c r="L3093" s="1" t="s">
        <v>901</v>
      </c>
      <c r="N3093" s="1" t="s">
        <v>6618</v>
      </c>
      <c r="P3093" s="1" t="s">
        <v>3239</v>
      </c>
      <c r="Q3093" s="3">
        <v>0</v>
      </c>
      <c r="S3093" s="23" t="s">
        <v>5949</v>
      </c>
      <c r="T3093" s="23" t="s">
        <v>4931</v>
      </c>
      <c r="U3093" s="3">
        <v>34</v>
      </c>
      <c r="W3093" s="45" t="str">
        <f>HYPERLINK("http://ictvonline.org/taxonomy/p/taxonomy-history?taxnode_id=201851043","ICTVonline=201851043")</f>
        <v>ICTVonline=201851043</v>
      </c>
      <c r="AA3093" s="1">
        <v>201850000</v>
      </c>
      <c r="AB3093" s="1">
        <v>34</v>
      </c>
    </row>
    <row r="3094" spans="1:28" x14ac:dyDescent="0.15">
      <c r="A3094" s="1">
        <v>7899</v>
      </c>
      <c r="J3094" s="1" t="s">
        <v>1332</v>
      </c>
      <c r="L3094" s="1" t="s">
        <v>901</v>
      </c>
      <c r="N3094" s="1" t="s">
        <v>6618</v>
      </c>
      <c r="P3094" s="1" t="s">
        <v>3240</v>
      </c>
      <c r="Q3094" s="3">
        <v>0</v>
      </c>
      <c r="S3094" s="23" t="s">
        <v>5949</v>
      </c>
      <c r="T3094" s="23" t="s">
        <v>4931</v>
      </c>
      <c r="U3094" s="3">
        <v>34</v>
      </c>
      <c r="W3094" s="45" t="str">
        <f>HYPERLINK("http://ictvonline.org/taxonomy/p/taxonomy-history?taxnode_id=201851044","ICTVonline=201851044")</f>
        <v>ICTVonline=201851044</v>
      </c>
      <c r="AA3094" s="1">
        <v>201850000</v>
      </c>
      <c r="AB3094" s="1">
        <v>34</v>
      </c>
    </row>
    <row r="3095" spans="1:28" x14ac:dyDescent="0.15">
      <c r="A3095" s="1">
        <v>7901</v>
      </c>
      <c r="J3095" s="1" t="s">
        <v>1332</v>
      </c>
      <c r="L3095" s="1" t="s">
        <v>901</v>
      </c>
      <c r="N3095" s="1" t="s">
        <v>6618</v>
      </c>
      <c r="P3095" s="1" t="s">
        <v>3241</v>
      </c>
      <c r="Q3095" s="3">
        <v>0</v>
      </c>
      <c r="S3095" s="23" t="s">
        <v>5949</v>
      </c>
      <c r="T3095" s="23" t="s">
        <v>4931</v>
      </c>
      <c r="U3095" s="3">
        <v>34</v>
      </c>
      <c r="W3095" s="45" t="str">
        <f>HYPERLINK("http://ictvonline.org/taxonomy/p/taxonomy-history?taxnode_id=201851045","ICTVonline=201851045")</f>
        <v>ICTVonline=201851045</v>
      </c>
      <c r="AA3095" s="1">
        <v>201850000</v>
      </c>
      <c r="AB3095" s="1">
        <v>34</v>
      </c>
    </row>
    <row r="3096" spans="1:28" x14ac:dyDescent="0.15">
      <c r="A3096" s="1">
        <v>7903</v>
      </c>
      <c r="J3096" s="1" t="s">
        <v>1332</v>
      </c>
      <c r="L3096" s="1" t="s">
        <v>901</v>
      </c>
      <c r="N3096" s="1" t="s">
        <v>6618</v>
      </c>
      <c r="P3096" s="1" t="s">
        <v>3242</v>
      </c>
      <c r="Q3096" s="3">
        <v>0</v>
      </c>
      <c r="S3096" s="23" t="s">
        <v>5949</v>
      </c>
      <c r="T3096" s="23" t="s">
        <v>4931</v>
      </c>
      <c r="U3096" s="3">
        <v>34</v>
      </c>
      <c r="W3096" s="45" t="str">
        <f>HYPERLINK("http://ictvonline.org/taxonomy/p/taxonomy-history?taxnode_id=201851046","ICTVonline=201851046")</f>
        <v>ICTVonline=201851046</v>
      </c>
      <c r="AA3096" s="1">
        <v>201850000</v>
      </c>
      <c r="AB3096" s="1">
        <v>34</v>
      </c>
    </row>
    <row r="3097" spans="1:28" x14ac:dyDescent="0.15">
      <c r="A3097" s="1">
        <v>7905</v>
      </c>
      <c r="J3097" s="1" t="s">
        <v>1332</v>
      </c>
      <c r="L3097" s="1" t="s">
        <v>901</v>
      </c>
      <c r="N3097" s="1" t="s">
        <v>6618</v>
      </c>
      <c r="P3097" s="1" t="s">
        <v>3243</v>
      </c>
      <c r="Q3097" s="3">
        <v>0</v>
      </c>
      <c r="S3097" s="23" t="s">
        <v>5949</v>
      </c>
      <c r="T3097" s="23" t="s">
        <v>4931</v>
      </c>
      <c r="U3097" s="3">
        <v>34</v>
      </c>
      <c r="W3097" s="45" t="str">
        <f>HYPERLINK("http://ictvonline.org/taxonomy/p/taxonomy-history?taxnode_id=201851047","ICTVonline=201851047")</f>
        <v>ICTVonline=201851047</v>
      </c>
      <c r="AA3097" s="1">
        <v>201850000</v>
      </c>
      <c r="AB3097" s="1">
        <v>34</v>
      </c>
    </row>
    <row r="3098" spans="1:28" x14ac:dyDescent="0.15">
      <c r="A3098" s="1">
        <v>7907</v>
      </c>
      <c r="J3098" s="1" t="s">
        <v>1332</v>
      </c>
      <c r="L3098" s="1" t="s">
        <v>901</v>
      </c>
      <c r="N3098" s="1" t="s">
        <v>6618</v>
      </c>
      <c r="P3098" s="1" t="s">
        <v>3244</v>
      </c>
      <c r="Q3098" s="3">
        <v>0</v>
      </c>
      <c r="S3098" s="23" t="s">
        <v>5949</v>
      </c>
      <c r="T3098" s="23" t="s">
        <v>4931</v>
      </c>
      <c r="U3098" s="3">
        <v>34</v>
      </c>
      <c r="W3098" s="45" t="str">
        <f>HYPERLINK("http://ictvonline.org/taxonomy/p/taxonomy-history?taxnode_id=201851048","ICTVonline=201851048")</f>
        <v>ICTVonline=201851048</v>
      </c>
      <c r="AA3098" s="1">
        <v>201850000</v>
      </c>
      <c r="AB3098" s="1">
        <v>34</v>
      </c>
    </row>
    <row r="3099" spans="1:28" x14ac:dyDescent="0.15">
      <c r="A3099" s="1">
        <v>7909</v>
      </c>
      <c r="J3099" s="1" t="s">
        <v>1332</v>
      </c>
      <c r="L3099" s="1" t="s">
        <v>901</v>
      </c>
      <c r="N3099" s="1" t="s">
        <v>6618</v>
      </c>
      <c r="P3099" s="1" t="s">
        <v>3245</v>
      </c>
      <c r="Q3099" s="3">
        <v>0</v>
      </c>
      <c r="S3099" s="23" t="s">
        <v>5949</v>
      </c>
      <c r="T3099" s="23" t="s">
        <v>4931</v>
      </c>
      <c r="U3099" s="3">
        <v>34</v>
      </c>
      <c r="W3099" s="45" t="str">
        <f>HYPERLINK("http://ictvonline.org/taxonomy/p/taxonomy-history?taxnode_id=201851049","ICTVonline=201851049")</f>
        <v>ICTVonline=201851049</v>
      </c>
      <c r="AA3099" s="1">
        <v>201850000</v>
      </c>
      <c r="AB3099" s="1">
        <v>34</v>
      </c>
    </row>
    <row r="3100" spans="1:28" x14ac:dyDescent="0.15">
      <c r="A3100" s="1">
        <v>7911</v>
      </c>
      <c r="J3100" s="1" t="s">
        <v>1332</v>
      </c>
      <c r="L3100" s="1" t="s">
        <v>901</v>
      </c>
      <c r="N3100" s="1" t="s">
        <v>6618</v>
      </c>
      <c r="P3100" s="1" t="s">
        <v>3246</v>
      </c>
      <c r="Q3100" s="3">
        <v>0</v>
      </c>
      <c r="S3100" s="23" t="s">
        <v>5949</v>
      </c>
      <c r="T3100" s="23" t="s">
        <v>4931</v>
      </c>
      <c r="U3100" s="3">
        <v>34</v>
      </c>
      <c r="W3100" s="45" t="str">
        <f>HYPERLINK("http://ictvonline.org/taxonomy/p/taxonomy-history?taxnode_id=201851050","ICTVonline=201851050")</f>
        <v>ICTVonline=201851050</v>
      </c>
      <c r="AA3100" s="1">
        <v>201850000</v>
      </c>
      <c r="AB3100" s="1">
        <v>34</v>
      </c>
    </row>
    <row r="3101" spans="1:28" x14ac:dyDescent="0.15">
      <c r="A3101" s="1">
        <v>7913</v>
      </c>
      <c r="J3101" s="1" t="s">
        <v>1332</v>
      </c>
      <c r="L3101" s="1" t="s">
        <v>901</v>
      </c>
      <c r="N3101" s="1" t="s">
        <v>6618</v>
      </c>
      <c r="P3101" s="1" t="s">
        <v>3247</v>
      </c>
      <c r="Q3101" s="3">
        <v>0</v>
      </c>
      <c r="S3101" s="23" t="s">
        <v>5949</v>
      </c>
      <c r="T3101" s="23" t="s">
        <v>4931</v>
      </c>
      <c r="U3101" s="3">
        <v>34</v>
      </c>
      <c r="W3101" s="45" t="str">
        <f>HYPERLINK("http://ictvonline.org/taxonomy/p/taxonomy-history?taxnode_id=201851051","ICTVonline=201851051")</f>
        <v>ICTVonline=201851051</v>
      </c>
      <c r="AA3101" s="1">
        <v>201850000</v>
      </c>
      <c r="AB3101" s="1">
        <v>34</v>
      </c>
    </row>
    <row r="3102" spans="1:28" x14ac:dyDescent="0.15">
      <c r="A3102" s="1">
        <v>7915</v>
      </c>
      <c r="J3102" s="1" t="s">
        <v>1332</v>
      </c>
      <c r="L3102" s="1" t="s">
        <v>901</v>
      </c>
      <c r="N3102" s="1" t="s">
        <v>6618</v>
      </c>
      <c r="P3102" s="1" t="s">
        <v>3248</v>
      </c>
      <c r="Q3102" s="3">
        <v>0</v>
      </c>
      <c r="S3102" s="23" t="s">
        <v>5949</v>
      </c>
      <c r="T3102" s="23" t="s">
        <v>4931</v>
      </c>
      <c r="U3102" s="3">
        <v>34</v>
      </c>
      <c r="W3102" s="45" t="str">
        <f>HYPERLINK("http://ictvonline.org/taxonomy/p/taxonomy-history?taxnode_id=201851052","ICTVonline=201851052")</f>
        <v>ICTVonline=201851052</v>
      </c>
      <c r="AA3102" s="1">
        <v>201850000</v>
      </c>
      <c r="AB3102" s="1">
        <v>34</v>
      </c>
    </row>
    <row r="3103" spans="1:28" x14ac:dyDescent="0.15">
      <c r="A3103" s="1">
        <v>7917</v>
      </c>
      <c r="J3103" s="1" t="s">
        <v>1332</v>
      </c>
      <c r="L3103" s="1" t="s">
        <v>901</v>
      </c>
      <c r="N3103" s="1" t="s">
        <v>6618</v>
      </c>
      <c r="P3103" s="1" t="s">
        <v>3249</v>
      </c>
      <c r="Q3103" s="3">
        <v>0</v>
      </c>
      <c r="S3103" s="23" t="s">
        <v>5949</v>
      </c>
      <c r="T3103" s="23" t="s">
        <v>4931</v>
      </c>
      <c r="U3103" s="3">
        <v>34</v>
      </c>
      <c r="W3103" s="45" t="str">
        <f>HYPERLINK("http://ictvonline.org/taxonomy/p/taxonomy-history?taxnode_id=201851053","ICTVonline=201851053")</f>
        <v>ICTVonline=201851053</v>
      </c>
      <c r="AA3103" s="1">
        <v>201850000</v>
      </c>
      <c r="AB3103" s="1">
        <v>34</v>
      </c>
    </row>
    <row r="3104" spans="1:28" x14ac:dyDescent="0.15">
      <c r="A3104" s="1">
        <v>7919</v>
      </c>
      <c r="J3104" s="1" t="s">
        <v>1332</v>
      </c>
      <c r="L3104" s="1" t="s">
        <v>901</v>
      </c>
      <c r="N3104" s="1" t="s">
        <v>6618</v>
      </c>
      <c r="P3104" s="1" t="s">
        <v>3250</v>
      </c>
      <c r="Q3104" s="3">
        <v>0</v>
      </c>
      <c r="S3104" s="23" t="s">
        <v>5949</v>
      </c>
      <c r="T3104" s="23" t="s">
        <v>4931</v>
      </c>
      <c r="U3104" s="3">
        <v>34</v>
      </c>
      <c r="W3104" s="45" t="str">
        <f>HYPERLINK("http://ictvonline.org/taxonomy/p/taxonomy-history?taxnode_id=201851054","ICTVonline=201851054")</f>
        <v>ICTVonline=201851054</v>
      </c>
      <c r="AA3104" s="1">
        <v>201850000</v>
      </c>
      <c r="AB3104" s="1">
        <v>34</v>
      </c>
    </row>
    <row r="3105" spans="1:28" x14ac:dyDescent="0.15">
      <c r="A3105" s="1">
        <v>7921</v>
      </c>
      <c r="J3105" s="1" t="s">
        <v>1332</v>
      </c>
      <c r="L3105" s="1" t="s">
        <v>901</v>
      </c>
      <c r="N3105" s="1" t="s">
        <v>6618</v>
      </c>
      <c r="P3105" s="1" t="s">
        <v>3251</v>
      </c>
      <c r="Q3105" s="3">
        <v>0</v>
      </c>
      <c r="S3105" s="23" t="s">
        <v>5949</v>
      </c>
      <c r="T3105" s="23" t="s">
        <v>4931</v>
      </c>
      <c r="U3105" s="3">
        <v>34</v>
      </c>
      <c r="W3105" s="45" t="str">
        <f>HYPERLINK("http://ictvonline.org/taxonomy/p/taxonomy-history?taxnode_id=201851055","ICTVonline=201851055")</f>
        <v>ICTVonline=201851055</v>
      </c>
      <c r="AA3105" s="1">
        <v>201850000</v>
      </c>
      <c r="AB3105" s="1">
        <v>34</v>
      </c>
    </row>
    <row r="3106" spans="1:28" x14ac:dyDescent="0.15">
      <c r="A3106" s="1">
        <v>7923</v>
      </c>
      <c r="J3106" s="1" t="s">
        <v>1332</v>
      </c>
      <c r="L3106" s="1" t="s">
        <v>901</v>
      </c>
      <c r="N3106" s="1" t="s">
        <v>6618</v>
      </c>
      <c r="P3106" s="1" t="s">
        <v>3252</v>
      </c>
      <c r="Q3106" s="3">
        <v>0</v>
      </c>
      <c r="S3106" s="23" t="s">
        <v>5949</v>
      </c>
      <c r="T3106" s="23" t="s">
        <v>4931</v>
      </c>
      <c r="U3106" s="3">
        <v>34</v>
      </c>
      <c r="W3106" s="45" t="str">
        <f>HYPERLINK("http://ictvonline.org/taxonomy/p/taxonomy-history?taxnode_id=201851056","ICTVonline=201851056")</f>
        <v>ICTVonline=201851056</v>
      </c>
      <c r="AA3106" s="1">
        <v>201850000</v>
      </c>
      <c r="AB3106" s="1">
        <v>34</v>
      </c>
    </row>
    <row r="3107" spans="1:28" x14ac:dyDescent="0.15">
      <c r="A3107" s="1">
        <v>7925</v>
      </c>
      <c r="J3107" s="1" t="s">
        <v>1332</v>
      </c>
      <c r="L3107" s="1" t="s">
        <v>901</v>
      </c>
      <c r="N3107" s="1" t="s">
        <v>6618</v>
      </c>
      <c r="P3107" s="1" t="s">
        <v>3253</v>
      </c>
      <c r="Q3107" s="3">
        <v>0</v>
      </c>
      <c r="S3107" s="23" t="s">
        <v>5949</v>
      </c>
      <c r="T3107" s="23" t="s">
        <v>4931</v>
      </c>
      <c r="U3107" s="3">
        <v>34</v>
      </c>
      <c r="W3107" s="45" t="str">
        <f>HYPERLINK("http://ictvonline.org/taxonomy/p/taxonomy-history?taxnode_id=201851057","ICTVonline=201851057")</f>
        <v>ICTVonline=201851057</v>
      </c>
      <c r="AA3107" s="1">
        <v>201850000</v>
      </c>
      <c r="AB3107" s="1">
        <v>34</v>
      </c>
    </row>
    <row r="3108" spans="1:28" x14ac:dyDescent="0.15">
      <c r="A3108" s="1">
        <v>7927</v>
      </c>
      <c r="J3108" s="1" t="s">
        <v>1332</v>
      </c>
      <c r="L3108" s="1" t="s">
        <v>901</v>
      </c>
      <c r="N3108" s="1" t="s">
        <v>6618</v>
      </c>
      <c r="P3108" s="1" t="s">
        <v>3254</v>
      </c>
      <c r="Q3108" s="3">
        <v>0</v>
      </c>
      <c r="S3108" s="23" t="s">
        <v>5949</v>
      </c>
      <c r="T3108" s="23" t="s">
        <v>4931</v>
      </c>
      <c r="U3108" s="3">
        <v>34</v>
      </c>
      <c r="W3108" s="45" t="str">
        <f>HYPERLINK("http://ictvonline.org/taxonomy/p/taxonomy-history?taxnode_id=201851058","ICTVonline=201851058")</f>
        <v>ICTVonline=201851058</v>
      </c>
      <c r="AA3108" s="1">
        <v>201850000</v>
      </c>
      <c r="AB3108" s="1">
        <v>34</v>
      </c>
    </row>
    <row r="3109" spans="1:28" x14ac:dyDescent="0.15">
      <c r="A3109" s="1">
        <v>7929</v>
      </c>
      <c r="J3109" s="1" t="s">
        <v>1332</v>
      </c>
      <c r="L3109" s="1" t="s">
        <v>901</v>
      </c>
      <c r="N3109" s="1" t="s">
        <v>6618</v>
      </c>
      <c r="P3109" s="1" t="s">
        <v>3255</v>
      </c>
      <c r="Q3109" s="3">
        <v>0</v>
      </c>
      <c r="S3109" s="23" t="s">
        <v>5949</v>
      </c>
      <c r="T3109" s="23" t="s">
        <v>4931</v>
      </c>
      <c r="U3109" s="3">
        <v>34</v>
      </c>
      <c r="W3109" s="45" t="str">
        <f>HYPERLINK("http://ictvonline.org/taxonomy/p/taxonomy-history?taxnode_id=201851059","ICTVonline=201851059")</f>
        <v>ICTVonline=201851059</v>
      </c>
      <c r="AA3109" s="1">
        <v>201850000</v>
      </c>
      <c r="AB3109" s="1">
        <v>34</v>
      </c>
    </row>
    <row r="3110" spans="1:28" x14ac:dyDescent="0.15">
      <c r="A3110" s="1">
        <v>7931</v>
      </c>
      <c r="J3110" s="1" t="s">
        <v>1332</v>
      </c>
      <c r="L3110" s="1" t="s">
        <v>901</v>
      </c>
      <c r="N3110" s="1" t="s">
        <v>6618</v>
      </c>
      <c r="P3110" s="1" t="s">
        <v>3256</v>
      </c>
      <c r="Q3110" s="3">
        <v>0</v>
      </c>
      <c r="S3110" s="23" t="s">
        <v>5949</v>
      </c>
      <c r="T3110" s="23" t="s">
        <v>4931</v>
      </c>
      <c r="U3110" s="3">
        <v>34</v>
      </c>
      <c r="W3110" s="45" t="str">
        <f>HYPERLINK("http://ictvonline.org/taxonomy/p/taxonomy-history?taxnode_id=201851061","ICTVonline=201851061")</f>
        <v>ICTVonline=201851061</v>
      </c>
      <c r="AA3110" s="1">
        <v>201850000</v>
      </c>
      <c r="AB3110" s="1">
        <v>34</v>
      </c>
    </row>
    <row r="3111" spans="1:28" x14ac:dyDescent="0.15">
      <c r="A3111" s="1">
        <v>7933</v>
      </c>
      <c r="J3111" s="1" t="s">
        <v>1332</v>
      </c>
      <c r="L3111" s="1" t="s">
        <v>901</v>
      </c>
      <c r="N3111" s="1" t="s">
        <v>6618</v>
      </c>
      <c r="P3111" s="1" t="s">
        <v>3257</v>
      </c>
      <c r="Q3111" s="3">
        <v>0</v>
      </c>
      <c r="S3111" s="23" t="s">
        <v>5949</v>
      </c>
      <c r="T3111" s="23" t="s">
        <v>4931</v>
      </c>
      <c r="U3111" s="3">
        <v>34</v>
      </c>
      <c r="W3111" s="45" t="str">
        <f>HYPERLINK("http://ictvonline.org/taxonomy/p/taxonomy-history?taxnode_id=201851062","ICTVonline=201851062")</f>
        <v>ICTVonline=201851062</v>
      </c>
      <c r="AA3111" s="1">
        <v>201850000</v>
      </c>
      <c r="AB3111" s="1">
        <v>34</v>
      </c>
    </row>
    <row r="3112" spans="1:28" x14ac:dyDescent="0.15">
      <c r="A3112" s="1">
        <v>7935</v>
      </c>
      <c r="J3112" s="1" t="s">
        <v>1332</v>
      </c>
      <c r="L3112" s="1" t="s">
        <v>901</v>
      </c>
      <c r="N3112" s="1" t="s">
        <v>6618</v>
      </c>
      <c r="P3112" s="1" t="s">
        <v>3258</v>
      </c>
      <c r="Q3112" s="3">
        <v>0</v>
      </c>
      <c r="S3112" s="23" t="s">
        <v>5949</v>
      </c>
      <c r="T3112" s="23" t="s">
        <v>4931</v>
      </c>
      <c r="U3112" s="3">
        <v>34</v>
      </c>
      <c r="W3112" s="45" t="str">
        <f>HYPERLINK("http://ictvonline.org/taxonomy/p/taxonomy-history?taxnode_id=201851063","ICTVonline=201851063")</f>
        <v>ICTVonline=201851063</v>
      </c>
      <c r="AA3112" s="1">
        <v>201850000</v>
      </c>
      <c r="AB3112" s="1">
        <v>34</v>
      </c>
    </row>
    <row r="3113" spans="1:28" x14ac:dyDescent="0.15">
      <c r="A3113" s="1">
        <v>7937</v>
      </c>
      <c r="J3113" s="1" t="s">
        <v>1332</v>
      </c>
      <c r="L3113" s="1" t="s">
        <v>901</v>
      </c>
      <c r="N3113" s="1" t="s">
        <v>6618</v>
      </c>
      <c r="P3113" s="1" t="s">
        <v>3259</v>
      </c>
      <c r="Q3113" s="3">
        <v>0</v>
      </c>
      <c r="S3113" s="23" t="s">
        <v>5949</v>
      </c>
      <c r="T3113" s="23" t="s">
        <v>4931</v>
      </c>
      <c r="U3113" s="3">
        <v>34</v>
      </c>
      <c r="W3113" s="45" t="str">
        <f>HYPERLINK("http://ictvonline.org/taxonomy/p/taxonomy-history?taxnode_id=201851064","ICTVonline=201851064")</f>
        <v>ICTVonline=201851064</v>
      </c>
      <c r="AA3113" s="1">
        <v>201850000</v>
      </c>
      <c r="AB3113" s="1">
        <v>34</v>
      </c>
    </row>
    <row r="3114" spans="1:28" x14ac:dyDescent="0.15">
      <c r="A3114" s="1">
        <v>7939</v>
      </c>
      <c r="J3114" s="1" t="s">
        <v>1332</v>
      </c>
      <c r="L3114" s="1" t="s">
        <v>901</v>
      </c>
      <c r="N3114" s="1" t="s">
        <v>6618</v>
      </c>
      <c r="P3114" s="1" t="s">
        <v>3260</v>
      </c>
      <c r="Q3114" s="3">
        <v>0</v>
      </c>
      <c r="S3114" s="23" t="s">
        <v>5949</v>
      </c>
      <c r="T3114" s="23" t="s">
        <v>4931</v>
      </c>
      <c r="U3114" s="3">
        <v>34</v>
      </c>
      <c r="W3114" s="45" t="str">
        <f>HYPERLINK("http://ictvonline.org/taxonomy/p/taxonomy-history?taxnode_id=201851065","ICTVonline=201851065")</f>
        <v>ICTVonline=201851065</v>
      </c>
      <c r="AA3114" s="1">
        <v>201850000</v>
      </c>
      <c r="AB3114" s="1">
        <v>34</v>
      </c>
    </row>
    <row r="3115" spans="1:28" x14ac:dyDescent="0.15">
      <c r="A3115" s="1">
        <v>7941</v>
      </c>
      <c r="J3115" s="1" t="s">
        <v>1332</v>
      </c>
      <c r="L3115" s="1" t="s">
        <v>901</v>
      </c>
      <c r="N3115" s="1" t="s">
        <v>6618</v>
      </c>
      <c r="P3115" s="1" t="s">
        <v>3261</v>
      </c>
      <c r="Q3115" s="3">
        <v>0</v>
      </c>
      <c r="S3115" s="23" t="s">
        <v>5949</v>
      </c>
      <c r="T3115" s="23" t="s">
        <v>4931</v>
      </c>
      <c r="U3115" s="3">
        <v>34</v>
      </c>
      <c r="W3115" s="45" t="str">
        <f>HYPERLINK("http://ictvonline.org/taxonomy/p/taxonomy-history?taxnode_id=201851066","ICTVonline=201851066")</f>
        <v>ICTVonline=201851066</v>
      </c>
      <c r="AA3115" s="1">
        <v>201850000</v>
      </c>
      <c r="AB3115" s="1">
        <v>34</v>
      </c>
    </row>
    <row r="3116" spans="1:28" x14ac:dyDescent="0.15">
      <c r="A3116" s="1">
        <v>7943</v>
      </c>
      <c r="J3116" s="1" t="s">
        <v>1332</v>
      </c>
      <c r="L3116" s="1" t="s">
        <v>901</v>
      </c>
      <c r="N3116" s="1" t="s">
        <v>6618</v>
      </c>
      <c r="P3116" s="1" t="s">
        <v>3262</v>
      </c>
      <c r="Q3116" s="3">
        <v>0</v>
      </c>
      <c r="S3116" s="23" t="s">
        <v>5949</v>
      </c>
      <c r="T3116" s="23" t="s">
        <v>4931</v>
      </c>
      <c r="U3116" s="3">
        <v>34</v>
      </c>
      <c r="W3116" s="45" t="str">
        <f>HYPERLINK("http://ictvonline.org/taxonomy/p/taxonomy-history?taxnode_id=201851067","ICTVonline=201851067")</f>
        <v>ICTVonline=201851067</v>
      </c>
      <c r="AA3116" s="1">
        <v>201850000</v>
      </c>
      <c r="AB3116" s="1">
        <v>34</v>
      </c>
    </row>
    <row r="3117" spans="1:28" x14ac:dyDescent="0.15">
      <c r="A3117" s="1">
        <v>7945</v>
      </c>
      <c r="J3117" s="1" t="s">
        <v>1332</v>
      </c>
      <c r="L3117" s="1" t="s">
        <v>901</v>
      </c>
      <c r="N3117" s="1" t="s">
        <v>6618</v>
      </c>
      <c r="P3117" s="1" t="s">
        <v>3263</v>
      </c>
      <c r="Q3117" s="3">
        <v>0</v>
      </c>
      <c r="S3117" s="23" t="s">
        <v>5949</v>
      </c>
      <c r="T3117" s="23" t="s">
        <v>4931</v>
      </c>
      <c r="U3117" s="3">
        <v>34</v>
      </c>
      <c r="W3117" s="45" t="str">
        <f>HYPERLINK("http://ictvonline.org/taxonomy/p/taxonomy-history?taxnode_id=201851068","ICTVonline=201851068")</f>
        <v>ICTVonline=201851068</v>
      </c>
      <c r="AA3117" s="1">
        <v>201850000</v>
      </c>
      <c r="AB3117" s="1">
        <v>34</v>
      </c>
    </row>
    <row r="3118" spans="1:28" x14ac:dyDescent="0.15">
      <c r="A3118" s="1">
        <v>7949</v>
      </c>
      <c r="J3118" s="1" t="s">
        <v>1332</v>
      </c>
      <c r="L3118" s="1" t="s">
        <v>901</v>
      </c>
      <c r="N3118" s="1" t="s">
        <v>4373</v>
      </c>
      <c r="P3118" s="1" t="s">
        <v>4374</v>
      </c>
      <c r="Q3118" s="3">
        <v>1</v>
      </c>
      <c r="S3118" s="23" t="s">
        <v>5949</v>
      </c>
      <c r="W3118" s="45" t="str">
        <f>HYPERLINK("http://ictvonline.org/taxonomy/p/taxonomy-history?taxnode_id=201850972","ICTVonline=201850972")</f>
        <v>ICTVonline=201850972</v>
      </c>
      <c r="AA3118" s="1">
        <v>201850000</v>
      </c>
      <c r="AB3118" s="1">
        <v>34</v>
      </c>
    </row>
    <row r="3119" spans="1:28" x14ac:dyDescent="0.15">
      <c r="A3119" s="1">
        <v>7953</v>
      </c>
      <c r="J3119" s="1" t="s">
        <v>1332</v>
      </c>
      <c r="L3119" s="1" t="s">
        <v>901</v>
      </c>
      <c r="N3119" s="1" t="s">
        <v>6620</v>
      </c>
      <c r="P3119" s="1" t="s">
        <v>6621</v>
      </c>
      <c r="Q3119" s="3">
        <v>0</v>
      </c>
      <c r="S3119" s="23" t="s">
        <v>5949</v>
      </c>
      <c r="T3119" s="23" t="s">
        <v>4929</v>
      </c>
      <c r="U3119" s="3">
        <v>34</v>
      </c>
      <c r="V3119" s="3" t="s">
        <v>6622</v>
      </c>
      <c r="W3119" s="45" t="str">
        <f>HYPERLINK("http://ictvonline.org/taxonomy/p/taxonomy-history?taxnode_id=201856628","ICTVonline=201856628")</f>
        <v>ICTVonline=201856628</v>
      </c>
      <c r="AA3119" s="1">
        <v>201850000</v>
      </c>
      <c r="AB3119" s="1">
        <v>34</v>
      </c>
    </row>
    <row r="3120" spans="1:28" x14ac:dyDescent="0.15">
      <c r="A3120" s="1">
        <v>7955</v>
      </c>
      <c r="J3120" s="1" t="s">
        <v>1332</v>
      </c>
      <c r="L3120" s="1" t="s">
        <v>901</v>
      </c>
      <c r="N3120" s="1" t="s">
        <v>6620</v>
      </c>
      <c r="P3120" s="1" t="s">
        <v>6623</v>
      </c>
      <c r="Q3120" s="3">
        <v>1</v>
      </c>
      <c r="S3120" s="23" t="s">
        <v>5949</v>
      </c>
      <c r="T3120" s="23" t="s">
        <v>4929</v>
      </c>
      <c r="U3120" s="3">
        <v>34</v>
      </c>
      <c r="V3120" s="3" t="s">
        <v>6622</v>
      </c>
      <c r="W3120" s="45" t="str">
        <f>HYPERLINK("http://ictvonline.org/taxonomy/p/taxonomy-history?taxnode_id=201856627","ICTVonline=201856627")</f>
        <v>ICTVonline=201856627</v>
      </c>
      <c r="AA3120" s="1">
        <v>201850000</v>
      </c>
      <c r="AB3120" s="1">
        <v>34</v>
      </c>
    </row>
    <row r="3121" spans="1:28" x14ac:dyDescent="0.15">
      <c r="A3121" s="1">
        <v>7959</v>
      </c>
      <c r="J3121" s="1" t="s">
        <v>1332</v>
      </c>
      <c r="L3121" s="1" t="s">
        <v>901</v>
      </c>
      <c r="N3121" s="1" t="s">
        <v>6624</v>
      </c>
      <c r="P3121" s="1" t="s">
        <v>6625</v>
      </c>
      <c r="Q3121" s="3">
        <v>1</v>
      </c>
      <c r="S3121" s="23" t="s">
        <v>5949</v>
      </c>
      <c r="T3121" s="23" t="s">
        <v>4929</v>
      </c>
      <c r="U3121" s="3">
        <v>34</v>
      </c>
      <c r="V3121" s="3" t="s">
        <v>6626</v>
      </c>
      <c r="W3121" s="45" t="str">
        <f>HYPERLINK("http://ictvonline.org/taxonomy/p/taxonomy-history?taxnode_id=201856444","ICTVonline=201856444")</f>
        <v>ICTVonline=201856444</v>
      </c>
      <c r="AA3121" s="1">
        <v>201850000</v>
      </c>
      <c r="AB3121" s="1">
        <v>34</v>
      </c>
    </row>
    <row r="3122" spans="1:28" x14ac:dyDescent="0.15">
      <c r="A3122" s="1">
        <v>7963</v>
      </c>
      <c r="J3122" s="1" t="s">
        <v>1332</v>
      </c>
      <c r="L3122" s="1" t="s">
        <v>901</v>
      </c>
      <c r="N3122" s="1" t="s">
        <v>6627</v>
      </c>
      <c r="P3122" s="1" t="s">
        <v>6628</v>
      </c>
      <c r="Q3122" s="3">
        <v>1</v>
      </c>
      <c r="S3122" s="23" t="s">
        <v>5949</v>
      </c>
      <c r="T3122" s="23" t="s">
        <v>4929</v>
      </c>
      <c r="U3122" s="3">
        <v>34</v>
      </c>
      <c r="V3122" s="3" t="s">
        <v>6629</v>
      </c>
      <c r="W3122" s="45" t="str">
        <f>HYPERLINK("http://ictvonline.org/taxonomy/p/taxonomy-history?taxnode_id=201856480","ICTVonline=201856480")</f>
        <v>ICTVonline=201856480</v>
      </c>
      <c r="AA3122" s="1">
        <v>201850000</v>
      </c>
      <c r="AB3122" s="1">
        <v>34</v>
      </c>
    </row>
    <row r="3123" spans="1:28" x14ac:dyDescent="0.15">
      <c r="A3123" s="1">
        <v>7967</v>
      </c>
      <c r="J3123" s="1" t="s">
        <v>1332</v>
      </c>
      <c r="L3123" s="1" t="s">
        <v>901</v>
      </c>
      <c r="N3123" s="1" t="s">
        <v>6630</v>
      </c>
      <c r="P3123" s="1" t="s">
        <v>6631</v>
      </c>
      <c r="Q3123" s="3">
        <v>1</v>
      </c>
      <c r="S3123" s="23" t="s">
        <v>5949</v>
      </c>
      <c r="T3123" s="23" t="s">
        <v>4929</v>
      </c>
      <c r="U3123" s="3">
        <v>34</v>
      </c>
      <c r="V3123" s="3" t="s">
        <v>6632</v>
      </c>
      <c r="W3123" s="45" t="str">
        <f>HYPERLINK("http://ictvonline.org/taxonomy/p/taxonomy-history?taxnode_id=201856632","ICTVonline=201856632")</f>
        <v>ICTVonline=201856632</v>
      </c>
      <c r="AA3123" s="1">
        <v>201850000</v>
      </c>
      <c r="AB3123" s="1">
        <v>34</v>
      </c>
    </row>
    <row r="3124" spans="1:28" x14ac:dyDescent="0.15">
      <c r="A3124" s="1">
        <v>7971</v>
      </c>
      <c r="J3124" s="1" t="s">
        <v>1332</v>
      </c>
      <c r="L3124" s="1" t="s">
        <v>901</v>
      </c>
      <c r="N3124" s="1" t="s">
        <v>6633</v>
      </c>
      <c r="P3124" s="1" t="s">
        <v>6634</v>
      </c>
      <c r="Q3124" s="3">
        <v>0</v>
      </c>
      <c r="S3124" s="23" t="s">
        <v>5949</v>
      </c>
      <c r="T3124" s="23" t="s">
        <v>4929</v>
      </c>
      <c r="U3124" s="3">
        <v>34</v>
      </c>
      <c r="V3124" s="3" t="s">
        <v>6635</v>
      </c>
      <c r="W3124" s="45" t="str">
        <f>HYPERLINK("http://ictvonline.org/taxonomy/p/taxonomy-history?taxnode_id=201856827","ICTVonline=201856827")</f>
        <v>ICTVonline=201856827</v>
      </c>
      <c r="AA3124" s="1">
        <v>201850000</v>
      </c>
      <c r="AB3124" s="1">
        <v>34</v>
      </c>
    </row>
    <row r="3125" spans="1:28" x14ac:dyDescent="0.15">
      <c r="A3125" s="1">
        <v>7973</v>
      </c>
      <c r="J3125" s="1" t="s">
        <v>1332</v>
      </c>
      <c r="L3125" s="1" t="s">
        <v>901</v>
      </c>
      <c r="N3125" s="1" t="s">
        <v>6633</v>
      </c>
      <c r="P3125" s="1" t="s">
        <v>6636</v>
      </c>
      <c r="Q3125" s="3">
        <v>1</v>
      </c>
      <c r="S3125" s="23" t="s">
        <v>5949</v>
      </c>
      <c r="T3125" s="23" t="s">
        <v>4929</v>
      </c>
      <c r="U3125" s="3">
        <v>34</v>
      </c>
      <c r="V3125" s="3" t="s">
        <v>6635</v>
      </c>
      <c r="W3125" s="45" t="str">
        <f>HYPERLINK("http://ictvonline.org/taxonomy/p/taxonomy-history?taxnode_id=201856826","ICTVonline=201856826")</f>
        <v>ICTVonline=201856826</v>
      </c>
      <c r="AA3125" s="1">
        <v>201850000</v>
      </c>
      <c r="AB3125" s="1">
        <v>34</v>
      </c>
    </row>
    <row r="3126" spans="1:28" x14ac:dyDescent="0.15">
      <c r="A3126" s="1">
        <v>7977</v>
      </c>
      <c r="J3126" s="1" t="s">
        <v>1332</v>
      </c>
      <c r="L3126" s="1" t="s">
        <v>901</v>
      </c>
      <c r="N3126" s="1" t="s">
        <v>6637</v>
      </c>
      <c r="P3126" s="1" t="s">
        <v>6638</v>
      </c>
      <c r="Q3126" s="3">
        <v>1</v>
      </c>
      <c r="S3126" s="23" t="s">
        <v>5949</v>
      </c>
      <c r="T3126" s="23" t="s">
        <v>4929</v>
      </c>
      <c r="U3126" s="3">
        <v>34</v>
      </c>
      <c r="V3126" s="3" t="s">
        <v>6639</v>
      </c>
      <c r="W3126" s="45" t="str">
        <f>HYPERLINK("http://ictvonline.org/taxonomy/p/taxonomy-history?taxnode_id=201856635","ICTVonline=201856635")</f>
        <v>ICTVonline=201856635</v>
      </c>
      <c r="AA3126" s="1">
        <v>201850000</v>
      </c>
      <c r="AB3126" s="1">
        <v>34</v>
      </c>
    </row>
    <row r="3127" spans="1:28" x14ac:dyDescent="0.15">
      <c r="A3127" s="1">
        <v>7981</v>
      </c>
      <c r="J3127" s="1" t="s">
        <v>1332</v>
      </c>
      <c r="L3127" s="1" t="s">
        <v>901</v>
      </c>
      <c r="N3127" s="1" t="s">
        <v>4375</v>
      </c>
      <c r="P3127" s="1" t="s">
        <v>4376</v>
      </c>
      <c r="Q3127" s="3">
        <v>1</v>
      </c>
      <c r="S3127" s="23" t="s">
        <v>5949</v>
      </c>
      <c r="W3127" s="45" t="str">
        <f>HYPERLINK("http://ictvonline.org/taxonomy/p/taxonomy-history?taxnode_id=201850974","ICTVonline=201850974")</f>
        <v>ICTVonline=201850974</v>
      </c>
      <c r="AA3127" s="1">
        <v>201850000</v>
      </c>
      <c r="AB3127" s="1">
        <v>34</v>
      </c>
    </row>
    <row r="3128" spans="1:28" x14ac:dyDescent="0.15">
      <c r="A3128" s="1">
        <v>7985</v>
      </c>
      <c r="J3128" s="1" t="s">
        <v>1332</v>
      </c>
      <c r="L3128" s="1" t="s">
        <v>901</v>
      </c>
      <c r="N3128" s="1" t="s">
        <v>4377</v>
      </c>
      <c r="P3128" s="1" t="s">
        <v>4378</v>
      </c>
      <c r="Q3128" s="3">
        <v>0</v>
      </c>
      <c r="S3128" s="23" t="s">
        <v>5949</v>
      </c>
      <c r="W3128" s="45" t="str">
        <f>HYPERLINK("http://ictvonline.org/taxonomy/p/taxonomy-history?taxnode_id=201850976","ICTVonline=201850976")</f>
        <v>ICTVonline=201850976</v>
      </c>
      <c r="AA3128" s="1">
        <v>201850000</v>
      </c>
      <c r="AB3128" s="1">
        <v>34</v>
      </c>
    </row>
    <row r="3129" spans="1:28" x14ac:dyDescent="0.15">
      <c r="A3129" s="1">
        <v>7987</v>
      </c>
      <c r="J3129" s="1" t="s">
        <v>1332</v>
      </c>
      <c r="L3129" s="1" t="s">
        <v>901</v>
      </c>
      <c r="N3129" s="1" t="s">
        <v>4377</v>
      </c>
      <c r="P3129" s="1" t="s">
        <v>4379</v>
      </c>
      <c r="Q3129" s="3">
        <v>1</v>
      </c>
      <c r="S3129" s="23" t="s">
        <v>5949</v>
      </c>
      <c r="W3129" s="45" t="str">
        <f>HYPERLINK("http://ictvonline.org/taxonomy/p/taxonomy-history?taxnode_id=201850977","ICTVonline=201850977")</f>
        <v>ICTVonline=201850977</v>
      </c>
      <c r="AA3129" s="1">
        <v>201850000</v>
      </c>
      <c r="AB3129" s="1">
        <v>34</v>
      </c>
    </row>
    <row r="3130" spans="1:28" x14ac:dyDescent="0.15">
      <c r="A3130" s="1">
        <v>7991</v>
      </c>
      <c r="J3130" s="1" t="s">
        <v>1332</v>
      </c>
      <c r="L3130" s="1" t="s">
        <v>901</v>
      </c>
      <c r="N3130" s="1" t="s">
        <v>4380</v>
      </c>
      <c r="P3130" s="1" t="s">
        <v>4381</v>
      </c>
      <c r="Q3130" s="3">
        <v>1</v>
      </c>
      <c r="S3130" s="23" t="s">
        <v>5949</v>
      </c>
      <c r="W3130" s="45" t="str">
        <f>HYPERLINK("http://ictvonline.org/taxonomy/p/taxonomy-history?taxnode_id=201850979","ICTVonline=201850979")</f>
        <v>ICTVonline=201850979</v>
      </c>
      <c r="AA3130" s="1">
        <v>201850000</v>
      </c>
      <c r="AB3130" s="1">
        <v>34</v>
      </c>
    </row>
    <row r="3131" spans="1:28" x14ac:dyDescent="0.15">
      <c r="A3131" s="1">
        <v>7995</v>
      </c>
      <c r="J3131" s="1" t="s">
        <v>1332</v>
      </c>
      <c r="L3131" s="1" t="s">
        <v>901</v>
      </c>
      <c r="N3131" s="1" t="s">
        <v>6640</v>
      </c>
      <c r="P3131" s="1" t="s">
        <v>6641</v>
      </c>
      <c r="Q3131" s="3">
        <v>1</v>
      </c>
      <c r="S3131" s="23" t="s">
        <v>5949</v>
      </c>
      <c r="T3131" s="23" t="s">
        <v>4929</v>
      </c>
      <c r="U3131" s="3">
        <v>34</v>
      </c>
      <c r="V3131" s="3" t="s">
        <v>6642</v>
      </c>
      <c r="W3131" s="45" t="str">
        <f>HYPERLINK("http://ictvonline.org/taxonomy/p/taxonomy-history?taxnode_id=201856985","ICTVonline=201856985")</f>
        <v>ICTVonline=201856985</v>
      </c>
      <c r="AA3131" s="1">
        <v>201850000</v>
      </c>
      <c r="AB3131" s="1">
        <v>34</v>
      </c>
    </row>
    <row r="3132" spans="1:28" x14ac:dyDescent="0.15">
      <c r="A3132" s="1">
        <v>7999</v>
      </c>
      <c r="J3132" s="1" t="s">
        <v>1332</v>
      </c>
      <c r="L3132" s="1" t="s">
        <v>901</v>
      </c>
      <c r="N3132" s="1" t="s">
        <v>6643</v>
      </c>
      <c r="P3132" s="1" t="s">
        <v>6644</v>
      </c>
      <c r="Q3132" s="3">
        <v>1</v>
      </c>
      <c r="S3132" s="23" t="s">
        <v>5949</v>
      </c>
      <c r="T3132" s="23" t="s">
        <v>4929</v>
      </c>
      <c r="U3132" s="3">
        <v>34</v>
      </c>
      <c r="V3132" s="3" t="s">
        <v>6645</v>
      </c>
      <c r="W3132" s="45" t="str">
        <f>HYPERLINK("http://ictvonline.org/taxonomy/p/taxonomy-history?taxnode_id=201856485","ICTVonline=201856485")</f>
        <v>ICTVonline=201856485</v>
      </c>
      <c r="AA3132" s="1">
        <v>201850000</v>
      </c>
      <c r="AB3132" s="1">
        <v>34</v>
      </c>
    </row>
    <row r="3133" spans="1:28" x14ac:dyDescent="0.15">
      <c r="A3133" s="1">
        <v>8003</v>
      </c>
      <c r="J3133" s="1" t="s">
        <v>1332</v>
      </c>
      <c r="L3133" s="1" t="s">
        <v>901</v>
      </c>
      <c r="N3133" s="1" t="s">
        <v>6646</v>
      </c>
      <c r="P3133" s="1" t="s">
        <v>6647</v>
      </c>
      <c r="Q3133" s="3">
        <v>1</v>
      </c>
      <c r="S3133" s="23" t="s">
        <v>5949</v>
      </c>
      <c r="T3133" s="23" t="s">
        <v>4929</v>
      </c>
      <c r="U3133" s="3">
        <v>34</v>
      </c>
      <c r="V3133" s="3" t="s">
        <v>6648</v>
      </c>
      <c r="W3133" s="45" t="str">
        <f>HYPERLINK("http://ictvonline.org/taxonomy/p/taxonomy-history?taxnode_id=201856638","ICTVonline=201856638")</f>
        <v>ICTVonline=201856638</v>
      </c>
      <c r="AA3133" s="1">
        <v>201850000</v>
      </c>
      <c r="AB3133" s="1">
        <v>34</v>
      </c>
    </row>
    <row r="3134" spans="1:28" x14ac:dyDescent="0.15">
      <c r="A3134" s="1">
        <v>8005</v>
      </c>
      <c r="J3134" s="1" t="s">
        <v>1332</v>
      </c>
      <c r="L3134" s="1" t="s">
        <v>901</v>
      </c>
      <c r="N3134" s="1" t="s">
        <v>6646</v>
      </c>
      <c r="P3134" s="1" t="s">
        <v>6649</v>
      </c>
      <c r="Q3134" s="3">
        <v>0</v>
      </c>
      <c r="S3134" s="23" t="s">
        <v>5949</v>
      </c>
      <c r="T3134" s="23" t="s">
        <v>4929</v>
      </c>
      <c r="U3134" s="3">
        <v>34</v>
      </c>
      <c r="V3134" s="3" t="s">
        <v>6648</v>
      </c>
      <c r="W3134" s="45" t="str">
        <f>HYPERLINK("http://ictvonline.org/taxonomy/p/taxonomy-history?taxnode_id=201856639","ICTVonline=201856639")</f>
        <v>ICTVonline=201856639</v>
      </c>
      <c r="AA3134" s="1">
        <v>201850000</v>
      </c>
      <c r="AB3134" s="1">
        <v>34</v>
      </c>
    </row>
    <row r="3135" spans="1:28" x14ac:dyDescent="0.15">
      <c r="A3135" s="1">
        <v>8009</v>
      </c>
      <c r="J3135" s="1" t="s">
        <v>1332</v>
      </c>
      <c r="L3135" s="1" t="s">
        <v>901</v>
      </c>
      <c r="N3135" s="1" t="s">
        <v>4382</v>
      </c>
      <c r="P3135" s="1" t="s">
        <v>4383</v>
      </c>
      <c r="Q3135" s="3">
        <v>1</v>
      </c>
      <c r="S3135" s="23" t="s">
        <v>5949</v>
      </c>
      <c r="W3135" s="45" t="str">
        <f>HYPERLINK("http://ictvonline.org/taxonomy/p/taxonomy-history?taxnode_id=201850981","ICTVonline=201850981")</f>
        <v>ICTVonline=201850981</v>
      </c>
      <c r="AA3135" s="1">
        <v>201850000</v>
      </c>
      <c r="AB3135" s="1">
        <v>34</v>
      </c>
    </row>
    <row r="3136" spans="1:28" x14ac:dyDescent="0.15">
      <c r="A3136" s="1">
        <v>8013</v>
      </c>
      <c r="J3136" s="1" t="s">
        <v>1332</v>
      </c>
      <c r="L3136" s="1" t="s">
        <v>901</v>
      </c>
      <c r="N3136" s="1" t="s">
        <v>6650</v>
      </c>
      <c r="P3136" s="1" t="s">
        <v>6651</v>
      </c>
      <c r="Q3136" s="3">
        <v>1</v>
      </c>
      <c r="S3136" s="23" t="s">
        <v>5949</v>
      </c>
      <c r="T3136" s="23" t="s">
        <v>4929</v>
      </c>
      <c r="U3136" s="3">
        <v>34</v>
      </c>
      <c r="V3136" s="3" t="s">
        <v>6652</v>
      </c>
      <c r="W3136" s="45" t="str">
        <f>HYPERLINK("http://ictvonline.org/taxonomy/p/taxonomy-history?taxnode_id=201856684","ICTVonline=201856684")</f>
        <v>ICTVonline=201856684</v>
      </c>
      <c r="AA3136" s="1">
        <v>201850000</v>
      </c>
      <c r="AB3136" s="1">
        <v>34</v>
      </c>
    </row>
    <row r="3137" spans="1:28" x14ac:dyDescent="0.15">
      <c r="A3137" s="1">
        <v>8017</v>
      </c>
      <c r="J3137" s="1" t="s">
        <v>1332</v>
      </c>
      <c r="L3137" s="1" t="s">
        <v>901</v>
      </c>
      <c r="N3137" s="1" t="s">
        <v>6653</v>
      </c>
      <c r="P3137" s="1" t="s">
        <v>3128</v>
      </c>
      <c r="Q3137" s="3">
        <v>0</v>
      </c>
      <c r="S3137" s="23" t="s">
        <v>5949</v>
      </c>
      <c r="T3137" s="23" t="s">
        <v>4931</v>
      </c>
      <c r="U3137" s="3">
        <v>34</v>
      </c>
      <c r="W3137" s="45" t="str">
        <f>HYPERLINK("http://ictvonline.org/taxonomy/p/taxonomy-history?taxnode_id=201850879","ICTVonline=201850879")</f>
        <v>ICTVonline=201850879</v>
      </c>
      <c r="AA3137" s="1">
        <v>201850000</v>
      </c>
      <c r="AB3137" s="1">
        <v>34</v>
      </c>
    </row>
    <row r="3138" spans="1:28" x14ac:dyDescent="0.15">
      <c r="A3138" s="1">
        <v>8019</v>
      </c>
      <c r="J3138" s="1" t="s">
        <v>1332</v>
      </c>
      <c r="L3138" s="1" t="s">
        <v>901</v>
      </c>
      <c r="N3138" s="1" t="s">
        <v>6653</v>
      </c>
      <c r="P3138" s="1" t="s">
        <v>3129</v>
      </c>
      <c r="Q3138" s="3">
        <v>0</v>
      </c>
      <c r="S3138" s="23" t="s">
        <v>5949</v>
      </c>
      <c r="T3138" s="23" t="s">
        <v>4931</v>
      </c>
      <c r="U3138" s="3">
        <v>34</v>
      </c>
      <c r="W3138" s="45" t="str">
        <f>HYPERLINK("http://ictvonline.org/taxonomy/p/taxonomy-history?taxnode_id=201850880","ICTVonline=201850880")</f>
        <v>ICTVonline=201850880</v>
      </c>
      <c r="AA3138" s="1">
        <v>201850000</v>
      </c>
      <c r="AB3138" s="1">
        <v>34</v>
      </c>
    </row>
    <row r="3139" spans="1:28" x14ac:dyDescent="0.15">
      <c r="A3139" s="1">
        <v>8021</v>
      </c>
      <c r="J3139" s="1" t="s">
        <v>1332</v>
      </c>
      <c r="L3139" s="1" t="s">
        <v>901</v>
      </c>
      <c r="N3139" s="1" t="s">
        <v>6653</v>
      </c>
      <c r="P3139" s="1" t="s">
        <v>3130</v>
      </c>
      <c r="Q3139" s="3">
        <v>1</v>
      </c>
      <c r="S3139" s="23" t="s">
        <v>5949</v>
      </c>
      <c r="T3139" s="23" t="s">
        <v>4931</v>
      </c>
      <c r="U3139" s="3">
        <v>34</v>
      </c>
      <c r="W3139" s="45" t="str">
        <f>HYPERLINK("http://ictvonline.org/taxonomy/p/taxonomy-history?taxnode_id=201850881","ICTVonline=201850881")</f>
        <v>ICTVonline=201850881</v>
      </c>
      <c r="AA3139" s="1">
        <v>201850000</v>
      </c>
      <c r="AB3139" s="1">
        <v>34</v>
      </c>
    </row>
    <row r="3140" spans="1:28" x14ac:dyDescent="0.15">
      <c r="A3140" s="1">
        <v>8025</v>
      </c>
      <c r="J3140" s="1" t="s">
        <v>1332</v>
      </c>
      <c r="L3140" s="1" t="s">
        <v>901</v>
      </c>
      <c r="N3140" s="1" t="s">
        <v>6654</v>
      </c>
      <c r="P3140" s="1" t="s">
        <v>3267</v>
      </c>
      <c r="Q3140" s="3">
        <v>0</v>
      </c>
      <c r="S3140" s="23" t="s">
        <v>5949</v>
      </c>
      <c r="T3140" s="23" t="s">
        <v>4931</v>
      </c>
      <c r="U3140" s="3">
        <v>34</v>
      </c>
      <c r="W3140" s="45" t="str">
        <f>HYPERLINK("http://ictvonline.org/taxonomy/p/taxonomy-history?taxnode_id=201851070","ICTVonline=201851070")</f>
        <v>ICTVonline=201851070</v>
      </c>
      <c r="AA3140" s="1">
        <v>201850000</v>
      </c>
      <c r="AB3140" s="1">
        <v>34</v>
      </c>
    </row>
    <row r="3141" spans="1:28" x14ac:dyDescent="0.15">
      <c r="A3141" s="1">
        <v>8027</v>
      </c>
      <c r="J3141" s="1" t="s">
        <v>1332</v>
      </c>
      <c r="L3141" s="1" t="s">
        <v>901</v>
      </c>
      <c r="N3141" s="1" t="s">
        <v>6654</v>
      </c>
      <c r="P3141" s="1" t="s">
        <v>5078</v>
      </c>
      <c r="Q3141" s="3">
        <v>0</v>
      </c>
      <c r="S3141" s="23" t="s">
        <v>5949</v>
      </c>
      <c r="T3141" s="23" t="s">
        <v>4931</v>
      </c>
      <c r="U3141" s="3">
        <v>34</v>
      </c>
      <c r="W3141" s="45" t="str">
        <f>HYPERLINK("http://ictvonline.org/taxonomy/p/taxonomy-history?taxnode_id=201855553","ICTVonline=201855553")</f>
        <v>ICTVonline=201855553</v>
      </c>
      <c r="AA3141" s="1">
        <v>201850000</v>
      </c>
      <c r="AB3141" s="1">
        <v>34</v>
      </c>
    </row>
    <row r="3142" spans="1:28" x14ac:dyDescent="0.15">
      <c r="A3142" s="1">
        <v>8029</v>
      </c>
      <c r="J3142" s="1" t="s">
        <v>1332</v>
      </c>
      <c r="L3142" s="1" t="s">
        <v>901</v>
      </c>
      <c r="N3142" s="1" t="s">
        <v>6654</v>
      </c>
      <c r="P3142" s="1" t="s">
        <v>3268</v>
      </c>
      <c r="Q3142" s="3">
        <v>1</v>
      </c>
      <c r="S3142" s="23" t="s">
        <v>5949</v>
      </c>
      <c r="T3142" s="23" t="s">
        <v>4931</v>
      </c>
      <c r="U3142" s="3">
        <v>34</v>
      </c>
      <c r="W3142" s="45" t="str">
        <f>HYPERLINK("http://ictvonline.org/taxonomy/p/taxonomy-history?taxnode_id=201851071","ICTVonline=201851071")</f>
        <v>ICTVonline=201851071</v>
      </c>
      <c r="AA3142" s="1">
        <v>201850000</v>
      </c>
      <c r="AB3142" s="1">
        <v>34</v>
      </c>
    </row>
    <row r="3143" spans="1:28" x14ac:dyDescent="0.15">
      <c r="A3143" s="1">
        <v>8031</v>
      </c>
      <c r="J3143" s="1" t="s">
        <v>1332</v>
      </c>
      <c r="L3143" s="1" t="s">
        <v>901</v>
      </c>
      <c r="N3143" s="1" t="s">
        <v>6654</v>
      </c>
      <c r="P3143" s="1" t="s">
        <v>5079</v>
      </c>
      <c r="Q3143" s="3">
        <v>0</v>
      </c>
      <c r="S3143" s="23" t="s">
        <v>5949</v>
      </c>
      <c r="T3143" s="23" t="s">
        <v>4931</v>
      </c>
      <c r="U3143" s="3">
        <v>34</v>
      </c>
      <c r="W3143" s="45" t="str">
        <f>HYPERLINK("http://ictvonline.org/taxonomy/p/taxonomy-history?taxnode_id=201855548","ICTVonline=201855548")</f>
        <v>ICTVonline=201855548</v>
      </c>
      <c r="AA3143" s="1">
        <v>201850000</v>
      </c>
      <c r="AB3143" s="1">
        <v>34</v>
      </c>
    </row>
    <row r="3144" spans="1:28" x14ac:dyDescent="0.15">
      <c r="A3144" s="1">
        <v>8033</v>
      </c>
      <c r="J3144" s="1" t="s">
        <v>1332</v>
      </c>
      <c r="L3144" s="1" t="s">
        <v>901</v>
      </c>
      <c r="N3144" s="1" t="s">
        <v>6654</v>
      </c>
      <c r="P3144" s="1" t="s">
        <v>5080</v>
      </c>
      <c r="Q3144" s="3">
        <v>0</v>
      </c>
      <c r="S3144" s="23" t="s">
        <v>5949</v>
      </c>
      <c r="T3144" s="23" t="s">
        <v>4931</v>
      </c>
      <c r="U3144" s="3">
        <v>34</v>
      </c>
      <c r="W3144" s="45" t="str">
        <f>HYPERLINK("http://ictvonline.org/taxonomy/p/taxonomy-history?taxnode_id=201855549","ICTVonline=201855549")</f>
        <v>ICTVonline=201855549</v>
      </c>
      <c r="AA3144" s="1">
        <v>201850000</v>
      </c>
      <c r="AB3144" s="1">
        <v>34</v>
      </c>
    </row>
    <row r="3145" spans="1:28" x14ac:dyDescent="0.15">
      <c r="A3145" s="1">
        <v>8035</v>
      </c>
      <c r="J3145" s="1" t="s">
        <v>1332</v>
      </c>
      <c r="L3145" s="1" t="s">
        <v>901</v>
      </c>
      <c r="N3145" s="1" t="s">
        <v>6654</v>
      </c>
      <c r="P3145" s="1" t="s">
        <v>5081</v>
      </c>
      <c r="Q3145" s="3">
        <v>0</v>
      </c>
      <c r="S3145" s="23" t="s">
        <v>5949</v>
      </c>
      <c r="T3145" s="23" t="s">
        <v>4931</v>
      </c>
      <c r="U3145" s="3">
        <v>34</v>
      </c>
      <c r="W3145" s="45" t="str">
        <f>HYPERLINK("http://ictvonline.org/taxonomy/p/taxonomy-history?taxnode_id=201855550","ICTVonline=201855550")</f>
        <v>ICTVonline=201855550</v>
      </c>
      <c r="AA3145" s="1">
        <v>201850000</v>
      </c>
      <c r="AB3145" s="1">
        <v>34</v>
      </c>
    </row>
    <row r="3146" spans="1:28" x14ac:dyDescent="0.15">
      <c r="A3146" s="1">
        <v>8037</v>
      </c>
      <c r="J3146" s="1" t="s">
        <v>1332</v>
      </c>
      <c r="L3146" s="1" t="s">
        <v>901</v>
      </c>
      <c r="N3146" s="1" t="s">
        <v>6654</v>
      </c>
      <c r="P3146" s="1" t="s">
        <v>5082</v>
      </c>
      <c r="Q3146" s="3">
        <v>0</v>
      </c>
      <c r="S3146" s="23" t="s">
        <v>5949</v>
      </c>
      <c r="T3146" s="23" t="s">
        <v>4931</v>
      </c>
      <c r="U3146" s="3">
        <v>34</v>
      </c>
      <c r="W3146" s="45" t="str">
        <f>HYPERLINK("http://ictvonline.org/taxonomy/p/taxonomy-history?taxnode_id=201855551","ICTVonline=201855551")</f>
        <v>ICTVonline=201855551</v>
      </c>
      <c r="AA3146" s="1">
        <v>201850000</v>
      </c>
      <c r="AB3146" s="1">
        <v>34</v>
      </c>
    </row>
    <row r="3147" spans="1:28" x14ac:dyDescent="0.15">
      <c r="A3147" s="1">
        <v>8039</v>
      </c>
      <c r="J3147" s="1" t="s">
        <v>1332</v>
      </c>
      <c r="L3147" s="1" t="s">
        <v>901</v>
      </c>
      <c r="N3147" s="1" t="s">
        <v>6654</v>
      </c>
      <c r="P3147" s="1" t="s">
        <v>5083</v>
      </c>
      <c r="Q3147" s="3">
        <v>0</v>
      </c>
      <c r="S3147" s="23" t="s">
        <v>5949</v>
      </c>
      <c r="T3147" s="23" t="s">
        <v>4931</v>
      </c>
      <c r="U3147" s="3">
        <v>34</v>
      </c>
      <c r="W3147" s="45" t="str">
        <f>HYPERLINK("http://ictvonline.org/taxonomy/p/taxonomy-history?taxnode_id=201855552","ICTVonline=201855552")</f>
        <v>ICTVonline=201855552</v>
      </c>
      <c r="AA3147" s="1">
        <v>201850000</v>
      </c>
      <c r="AB3147" s="1">
        <v>34</v>
      </c>
    </row>
    <row r="3148" spans="1:28" x14ac:dyDescent="0.15">
      <c r="A3148" s="1">
        <v>8041</v>
      </c>
      <c r="J3148" s="1" t="s">
        <v>1332</v>
      </c>
      <c r="L3148" s="1" t="s">
        <v>901</v>
      </c>
      <c r="N3148" s="1" t="s">
        <v>6654</v>
      </c>
      <c r="P3148" s="1" t="s">
        <v>5084</v>
      </c>
      <c r="Q3148" s="3">
        <v>0</v>
      </c>
      <c r="S3148" s="23" t="s">
        <v>5949</v>
      </c>
      <c r="T3148" s="23" t="s">
        <v>4931</v>
      </c>
      <c r="U3148" s="3">
        <v>34</v>
      </c>
      <c r="W3148" s="45" t="str">
        <f>HYPERLINK("http://ictvonline.org/taxonomy/p/taxonomy-history?taxnode_id=201855554","ICTVonline=201855554")</f>
        <v>ICTVonline=201855554</v>
      </c>
      <c r="AA3148" s="1">
        <v>201850000</v>
      </c>
      <c r="AB3148" s="1">
        <v>34</v>
      </c>
    </row>
    <row r="3149" spans="1:28" x14ac:dyDescent="0.15">
      <c r="A3149" s="1">
        <v>8043</v>
      </c>
      <c r="J3149" s="1" t="s">
        <v>1332</v>
      </c>
      <c r="L3149" s="1" t="s">
        <v>901</v>
      </c>
      <c r="N3149" s="1" t="s">
        <v>6654</v>
      </c>
      <c r="P3149" s="1" t="s">
        <v>5085</v>
      </c>
      <c r="Q3149" s="3">
        <v>0</v>
      </c>
      <c r="S3149" s="23" t="s">
        <v>5949</v>
      </c>
      <c r="T3149" s="23" t="s">
        <v>4931</v>
      </c>
      <c r="U3149" s="3">
        <v>34</v>
      </c>
      <c r="W3149" s="45" t="str">
        <f>HYPERLINK("http://ictvonline.org/taxonomy/p/taxonomy-history?taxnode_id=201855555","ICTVonline=201855555")</f>
        <v>ICTVonline=201855555</v>
      </c>
      <c r="AA3149" s="1">
        <v>201850000</v>
      </c>
      <c r="AB3149" s="1">
        <v>34</v>
      </c>
    </row>
    <row r="3150" spans="1:28" x14ac:dyDescent="0.15">
      <c r="A3150" s="1">
        <v>8045</v>
      </c>
      <c r="J3150" s="1" t="s">
        <v>1332</v>
      </c>
      <c r="L3150" s="1" t="s">
        <v>901</v>
      </c>
      <c r="N3150" s="1" t="s">
        <v>6654</v>
      </c>
      <c r="P3150" s="1" t="s">
        <v>5086</v>
      </c>
      <c r="Q3150" s="3">
        <v>0</v>
      </c>
      <c r="S3150" s="23" t="s">
        <v>5949</v>
      </c>
      <c r="T3150" s="23" t="s">
        <v>4931</v>
      </c>
      <c r="U3150" s="3">
        <v>34</v>
      </c>
      <c r="W3150" s="45" t="str">
        <f>HYPERLINK("http://ictvonline.org/taxonomy/p/taxonomy-history?taxnode_id=201855556","ICTVonline=201855556")</f>
        <v>ICTVonline=201855556</v>
      </c>
      <c r="AA3150" s="1">
        <v>201850000</v>
      </c>
      <c r="AB3150" s="1">
        <v>34</v>
      </c>
    </row>
    <row r="3151" spans="1:28" x14ac:dyDescent="0.15">
      <c r="A3151" s="1">
        <v>8049</v>
      </c>
      <c r="J3151" s="1" t="s">
        <v>1332</v>
      </c>
      <c r="L3151" s="1" t="s">
        <v>901</v>
      </c>
      <c r="N3151" s="1" t="s">
        <v>6655</v>
      </c>
      <c r="P3151" s="1" t="s">
        <v>6656</v>
      </c>
      <c r="Q3151" s="3">
        <v>0</v>
      </c>
      <c r="S3151" s="23" t="s">
        <v>5949</v>
      </c>
      <c r="T3151" s="23" t="s">
        <v>4929</v>
      </c>
      <c r="U3151" s="3">
        <v>34</v>
      </c>
      <c r="V3151" s="3" t="s">
        <v>6657</v>
      </c>
      <c r="W3151" s="45" t="str">
        <f>HYPERLINK("http://ictvonline.org/taxonomy/p/taxonomy-history?taxnode_id=201856830","ICTVonline=201856830")</f>
        <v>ICTVonline=201856830</v>
      </c>
      <c r="AA3151" s="1">
        <v>201850000</v>
      </c>
      <c r="AB3151" s="1">
        <v>34</v>
      </c>
    </row>
    <row r="3152" spans="1:28" x14ac:dyDescent="0.15">
      <c r="A3152" s="1">
        <v>8051</v>
      </c>
      <c r="J3152" s="1" t="s">
        <v>1332</v>
      </c>
      <c r="L3152" s="1" t="s">
        <v>901</v>
      </c>
      <c r="N3152" s="1" t="s">
        <v>6655</v>
      </c>
      <c r="P3152" s="1" t="s">
        <v>6658</v>
      </c>
      <c r="Q3152" s="3">
        <v>1</v>
      </c>
      <c r="S3152" s="23" t="s">
        <v>5949</v>
      </c>
      <c r="T3152" s="23" t="s">
        <v>4929</v>
      </c>
      <c r="U3152" s="3">
        <v>34</v>
      </c>
      <c r="V3152" s="3" t="s">
        <v>6657</v>
      </c>
      <c r="W3152" s="45" t="str">
        <f>HYPERLINK("http://ictvonline.org/taxonomy/p/taxonomy-history?taxnode_id=201856829","ICTVonline=201856829")</f>
        <v>ICTVonline=201856829</v>
      </c>
      <c r="AA3152" s="1">
        <v>201850000</v>
      </c>
      <c r="AB3152" s="1">
        <v>34</v>
      </c>
    </row>
    <row r="3153" spans="1:28" x14ac:dyDescent="0.15">
      <c r="A3153" s="1">
        <v>8055</v>
      </c>
      <c r="J3153" s="1" t="s">
        <v>1332</v>
      </c>
      <c r="L3153" s="1" t="s">
        <v>901</v>
      </c>
      <c r="N3153" s="1" t="s">
        <v>6659</v>
      </c>
      <c r="P3153" s="1" t="s">
        <v>3288</v>
      </c>
      <c r="Q3153" s="3">
        <v>0</v>
      </c>
      <c r="S3153" s="23" t="s">
        <v>5949</v>
      </c>
      <c r="T3153" s="23" t="s">
        <v>4931</v>
      </c>
      <c r="U3153" s="3">
        <v>34</v>
      </c>
      <c r="W3153" s="45" t="str">
        <f>HYPERLINK("http://ictvonline.org/taxonomy/p/taxonomy-history?taxnode_id=201851111","ICTVonline=201851111")</f>
        <v>ICTVonline=201851111</v>
      </c>
      <c r="AA3153" s="1">
        <v>201850000</v>
      </c>
      <c r="AB3153" s="1">
        <v>34</v>
      </c>
    </row>
    <row r="3154" spans="1:28" x14ac:dyDescent="0.15">
      <c r="A3154" s="1">
        <v>8057</v>
      </c>
      <c r="J3154" s="1" t="s">
        <v>1332</v>
      </c>
      <c r="L3154" s="1" t="s">
        <v>901</v>
      </c>
      <c r="N3154" s="1" t="s">
        <v>6659</v>
      </c>
      <c r="P3154" s="1" t="s">
        <v>3289</v>
      </c>
      <c r="Q3154" s="3">
        <v>0</v>
      </c>
      <c r="S3154" s="23" t="s">
        <v>5949</v>
      </c>
      <c r="T3154" s="23" t="s">
        <v>4931</v>
      </c>
      <c r="U3154" s="3">
        <v>34</v>
      </c>
      <c r="W3154" s="45" t="str">
        <f>HYPERLINK("http://ictvonline.org/taxonomy/p/taxonomy-history?taxnode_id=201851112","ICTVonline=201851112")</f>
        <v>ICTVonline=201851112</v>
      </c>
      <c r="AA3154" s="1">
        <v>201850000</v>
      </c>
      <c r="AB3154" s="1">
        <v>34</v>
      </c>
    </row>
    <row r="3155" spans="1:28" x14ac:dyDescent="0.15">
      <c r="A3155" s="1">
        <v>8059</v>
      </c>
      <c r="J3155" s="1" t="s">
        <v>1332</v>
      </c>
      <c r="L3155" s="1" t="s">
        <v>901</v>
      </c>
      <c r="N3155" s="1" t="s">
        <v>6659</v>
      </c>
      <c r="P3155" s="1" t="s">
        <v>3290</v>
      </c>
      <c r="Q3155" s="3">
        <v>0</v>
      </c>
      <c r="S3155" s="23" t="s">
        <v>5949</v>
      </c>
      <c r="T3155" s="23" t="s">
        <v>4931</v>
      </c>
      <c r="U3155" s="3">
        <v>34</v>
      </c>
      <c r="W3155" s="45" t="str">
        <f>HYPERLINK("http://ictvonline.org/taxonomy/p/taxonomy-history?taxnode_id=201851113","ICTVonline=201851113")</f>
        <v>ICTVonline=201851113</v>
      </c>
      <c r="AA3155" s="1">
        <v>201850000</v>
      </c>
      <c r="AB3155" s="1">
        <v>34</v>
      </c>
    </row>
    <row r="3156" spans="1:28" x14ac:dyDescent="0.15">
      <c r="A3156" s="1">
        <v>8061</v>
      </c>
      <c r="J3156" s="1" t="s">
        <v>1332</v>
      </c>
      <c r="L3156" s="1" t="s">
        <v>901</v>
      </c>
      <c r="N3156" s="1" t="s">
        <v>6659</v>
      </c>
      <c r="P3156" s="1" t="s">
        <v>3291</v>
      </c>
      <c r="Q3156" s="3">
        <v>0</v>
      </c>
      <c r="S3156" s="23" t="s">
        <v>5949</v>
      </c>
      <c r="T3156" s="23" t="s">
        <v>4931</v>
      </c>
      <c r="U3156" s="3">
        <v>34</v>
      </c>
      <c r="W3156" s="45" t="str">
        <f>HYPERLINK("http://ictvonline.org/taxonomy/p/taxonomy-history?taxnode_id=201851114","ICTVonline=201851114")</f>
        <v>ICTVonline=201851114</v>
      </c>
      <c r="AA3156" s="1">
        <v>201850000</v>
      </c>
      <c r="AB3156" s="1">
        <v>34</v>
      </c>
    </row>
    <row r="3157" spans="1:28" x14ac:dyDescent="0.15">
      <c r="A3157" s="1">
        <v>8063</v>
      </c>
      <c r="J3157" s="1" t="s">
        <v>1332</v>
      </c>
      <c r="L3157" s="1" t="s">
        <v>901</v>
      </c>
      <c r="N3157" s="1" t="s">
        <v>6659</v>
      </c>
      <c r="P3157" s="1" t="s">
        <v>3292</v>
      </c>
      <c r="Q3157" s="3">
        <v>1</v>
      </c>
      <c r="S3157" s="23" t="s">
        <v>5949</v>
      </c>
      <c r="T3157" s="23" t="s">
        <v>4931</v>
      </c>
      <c r="U3157" s="3">
        <v>34</v>
      </c>
      <c r="W3157" s="45" t="str">
        <f>HYPERLINK("http://ictvonline.org/taxonomy/p/taxonomy-history?taxnode_id=201851115","ICTVonline=201851115")</f>
        <v>ICTVonline=201851115</v>
      </c>
      <c r="AA3157" s="1">
        <v>201850000</v>
      </c>
      <c r="AB3157" s="1">
        <v>34</v>
      </c>
    </row>
    <row r="3158" spans="1:28" x14ac:dyDescent="0.15">
      <c r="A3158" s="1">
        <v>8067</v>
      </c>
      <c r="J3158" s="1" t="s">
        <v>1332</v>
      </c>
      <c r="L3158" s="1" t="s">
        <v>901</v>
      </c>
      <c r="N3158" s="1" t="s">
        <v>6660</v>
      </c>
      <c r="P3158" s="1" t="s">
        <v>6661</v>
      </c>
      <c r="Q3158" s="3">
        <v>1</v>
      </c>
      <c r="S3158" s="23" t="s">
        <v>5949</v>
      </c>
      <c r="T3158" s="23" t="s">
        <v>4929</v>
      </c>
      <c r="U3158" s="3">
        <v>34</v>
      </c>
      <c r="V3158" s="3" t="s">
        <v>6662</v>
      </c>
      <c r="W3158" s="45" t="str">
        <f>HYPERLINK("http://ictvonline.org/taxonomy/p/taxonomy-history?taxnode_id=201856771","ICTVonline=201856771")</f>
        <v>ICTVonline=201856771</v>
      </c>
      <c r="AA3158" s="1">
        <v>201850000</v>
      </c>
      <c r="AB3158" s="1">
        <v>34</v>
      </c>
    </row>
    <row r="3159" spans="1:28" x14ac:dyDescent="0.15">
      <c r="A3159" s="1">
        <v>8069</v>
      </c>
      <c r="J3159" s="1" t="s">
        <v>1332</v>
      </c>
      <c r="L3159" s="1" t="s">
        <v>901</v>
      </c>
      <c r="N3159" s="1" t="s">
        <v>6660</v>
      </c>
      <c r="P3159" s="1" t="s">
        <v>6663</v>
      </c>
      <c r="Q3159" s="3">
        <v>0</v>
      </c>
      <c r="S3159" s="23" t="s">
        <v>5949</v>
      </c>
      <c r="T3159" s="23" t="s">
        <v>4929</v>
      </c>
      <c r="U3159" s="3">
        <v>34</v>
      </c>
      <c r="V3159" s="3" t="s">
        <v>6662</v>
      </c>
      <c r="W3159" s="45" t="str">
        <f>HYPERLINK("http://ictvonline.org/taxonomy/p/taxonomy-history?taxnode_id=201856772","ICTVonline=201856772")</f>
        <v>ICTVonline=201856772</v>
      </c>
      <c r="AA3159" s="1">
        <v>201850000</v>
      </c>
      <c r="AB3159" s="1">
        <v>34</v>
      </c>
    </row>
    <row r="3160" spans="1:28" x14ac:dyDescent="0.15">
      <c r="A3160" s="1">
        <v>8073</v>
      </c>
      <c r="J3160" s="1" t="s">
        <v>1332</v>
      </c>
      <c r="L3160" s="1" t="s">
        <v>901</v>
      </c>
      <c r="N3160" s="1" t="s">
        <v>6664</v>
      </c>
      <c r="P3160" s="1" t="s">
        <v>6665</v>
      </c>
      <c r="Q3160" s="3">
        <v>0</v>
      </c>
      <c r="S3160" s="23" t="s">
        <v>5949</v>
      </c>
      <c r="T3160" s="23" t="s">
        <v>4929</v>
      </c>
      <c r="U3160" s="3">
        <v>34</v>
      </c>
      <c r="V3160" s="3" t="s">
        <v>6666</v>
      </c>
      <c r="W3160" s="45" t="str">
        <f>HYPERLINK("http://ictvonline.org/taxonomy/p/taxonomy-history?taxnode_id=201856742","ICTVonline=201856742")</f>
        <v>ICTVonline=201856742</v>
      </c>
      <c r="AA3160" s="1">
        <v>201850000</v>
      </c>
      <c r="AB3160" s="1">
        <v>34</v>
      </c>
    </row>
    <row r="3161" spans="1:28" x14ac:dyDescent="0.15">
      <c r="A3161" s="1">
        <v>8075</v>
      </c>
      <c r="J3161" s="1" t="s">
        <v>1332</v>
      </c>
      <c r="L3161" s="1" t="s">
        <v>901</v>
      </c>
      <c r="N3161" s="1" t="s">
        <v>6664</v>
      </c>
      <c r="P3161" s="1" t="s">
        <v>6667</v>
      </c>
      <c r="Q3161" s="3">
        <v>1</v>
      </c>
      <c r="S3161" s="23" t="s">
        <v>5949</v>
      </c>
      <c r="T3161" s="23" t="s">
        <v>4929</v>
      </c>
      <c r="U3161" s="3">
        <v>34</v>
      </c>
      <c r="V3161" s="3" t="s">
        <v>6666</v>
      </c>
      <c r="W3161" s="45" t="str">
        <f>HYPERLINK("http://ictvonline.org/taxonomy/p/taxonomy-history?taxnode_id=201856741","ICTVonline=201856741")</f>
        <v>ICTVonline=201856741</v>
      </c>
      <c r="AA3161" s="1">
        <v>201850000</v>
      </c>
      <c r="AB3161" s="1">
        <v>34</v>
      </c>
    </row>
    <row r="3162" spans="1:28" x14ac:dyDescent="0.15">
      <c r="A3162" s="1">
        <v>8079</v>
      </c>
      <c r="J3162" s="1" t="s">
        <v>1332</v>
      </c>
      <c r="L3162" s="1" t="s">
        <v>901</v>
      </c>
      <c r="N3162" s="1" t="s">
        <v>6668</v>
      </c>
      <c r="P3162" s="1" t="s">
        <v>4413</v>
      </c>
      <c r="Q3162" s="3">
        <v>1</v>
      </c>
      <c r="S3162" s="23" t="s">
        <v>5949</v>
      </c>
      <c r="T3162" s="23" t="s">
        <v>4931</v>
      </c>
      <c r="U3162" s="3">
        <v>34</v>
      </c>
      <c r="W3162" s="45" t="str">
        <f>HYPERLINK("http://ictvonline.org/taxonomy/p/taxonomy-history?taxnode_id=201851102","ICTVonline=201851102")</f>
        <v>ICTVonline=201851102</v>
      </c>
      <c r="AA3162" s="1">
        <v>201850000</v>
      </c>
      <c r="AB3162" s="1">
        <v>34</v>
      </c>
    </row>
    <row r="3163" spans="1:28" x14ac:dyDescent="0.15">
      <c r="A3163" s="1">
        <v>8081</v>
      </c>
      <c r="J3163" s="1" t="s">
        <v>1332</v>
      </c>
      <c r="L3163" s="1" t="s">
        <v>901</v>
      </c>
      <c r="N3163" s="1" t="s">
        <v>6668</v>
      </c>
      <c r="P3163" s="1" t="s">
        <v>4414</v>
      </c>
      <c r="Q3163" s="3">
        <v>0</v>
      </c>
      <c r="S3163" s="23" t="s">
        <v>5949</v>
      </c>
      <c r="T3163" s="23" t="s">
        <v>4931</v>
      </c>
      <c r="U3163" s="3">
        <v>34</v>
      </c>
      <c r="W3163" s="45" t="str">
        <f>HYPERLINK("http://ictvonline.org/taxonomy/p/taxonomy-history?taxnode_id=201851103","ICTVonline=201851103")</f>
        <v>ICTVonline=201851103</v>
      </c>
      <c r="AA3163" s="1">
        <v>201850000</v>
      </c>
      <c r="AB3163" s="1">
        <v>34</v>
      </c>
    </row>
    <row r="3164" spans="1:28" x14ac:dyDescent="0.15">
      <c r="A3164" s="1">
        <v>8085</v>
      </c>
      <c r="J3164" s="1" t="s">
        <v>1332</v>
      </c>
      <c r="L3164" s="1" t="s">
        <v>901</v>
      </c>
      <c r="N3164" s="1" t="s">
        <v>6669</v>
      </c>
      <c r="P3164" s="1" t="s">
        <v>4415</v>
      </c>
      <c r="Q3164" s="3">
        <v>0</v>
      </c>
      <c r="S3164" s="23" t="s">
        <v>5949</v>
      </c>
      <c r="T3164" s="23" t="s">
        <v>4931</v>
      </c>
      <c r="U3164" s="3">
        <v>34</v>
      </c>
      <c r="W3164" s="45" t="str">
        <f>HYPERLINK("http://ictvonline.org/taxonomy/p/taxonomy-history?taxnode_id=201851105","ICTVonline=201851105")</f>
        <v>ICTVonline=201851105</v>
      </c>
      <c r="AA3164" s="1">
        <v>201850000</v>
      </c>
      <c r="AB3164" s="1">
        <v>34</v>
      </c>
    </row>
    <row r="3165" spans="1:28" x14ac:dyDescent="0.15">
      <c r="A3165" s="1">
        <v>8087</v>
      </c>
      <c r="J3165" s="1" t="s">
        <v>1332</v>
      </c>
      <c r="L3165" s="1" t="s">
        <v>901</v>
      </c>
      <c r="N3165" s="1" t="s">
        <v>6669</v>
      </c>
      <c r="P3165" s="1" t="s">
        <v>4416</v>
      </c>
      <c r="Q3165" s="3">
        <v>1</v>
      </c>
      <c r="S3165" s="23" t="s">
        <v>5949</v>
      </c>
      <c r="T3165" s="23" t="s">
        <v>4931</v>
      </c>
      <c r="U3165" s="3">
        <v>34</v>
      </c>
      <c r="W3165" s="45" t="str">
        <f>HYPERLINK("http://ictvonline.org/taxonomy/p/taxonomy-history?taxnode_id=201851106","ICTVonline=201851106")</f>
        <v>ICTVonline=201851106</v>
      </c>
      <c r="AA3165" s="1">
        <v>201850000</v>
      </c>
      <c r="AB3165" s="1">
        <v>34</v>
      </c>
    </row>
    <row r="3166" spans="1:28" x14ac:dyDescent="0.15">
      <c r="A3166" s="1">
        <v>8091</v>
      </c>
      <c r="J3166" s="1" t="s">
        <v>1332</v>
      </c>
      <c r="L3166" s="1" t="s">
        <v>901</v>
      </c>
      <c r="N3166" s="1" t="s">
        <v>4386</v>
      </c>
      <c r="P3166" s="1" t="s">
        <v>4387</v>
      </c>
      <c r="Q3166" s="3">
        <v>1</v>
      </c>
      <c r="S3166" s="23" t="s">
        <v>5949</v>
      </c>
      <c r="W3166" s="45" t="str">
        <f>HYPERLINK("http://ictvonline.org/taxonomy/p/taxonomy-history?taxnode_id=201850991","ICTVonline=201850991")</f>
        <v>ICTVonline=201850991</v>
      </c>
      <c r="AA3166" s="1">
        <v>201850000</v>
      </c>
      <c r="AB3166" s="1">
        <v>34</v>
      </c>
    </row>
    <row r="3167" spans="1:28" x14ac:dyDescent="0.15">
      <c r="A3167" s="1">
        <v>8095</v>
      </c>
      <c r="J3167" s="1" t="s">
        <v>1332</v>
      </c>
      <c r="L3167" s="1" t="s">
        <v>901</v>
      </c>
      <c r="N3167" s="1" t="s">
        <v>6670</v>
      </c>
      <c r="P3167" s="1" t="s">
        <v>6671</v>
      </c>
      <c r="Q3167" s="3">
        <v>1</v>
      </c>
      <c r="S3167" s="23" t="s">
        <v>5949</v>
      </c>
      <c r="T3167" s="23" t="s">
        <v>4929</v>
      </c>
      <c r="U3167" s="3">
        <v>34</v>
      </c>
      <c r="V3167" s="3" t="s">
        <v>6672</v>
      </c>
      <c r="W3167" s="45" t="str">
        <f>HYPERLINK("http://ictvonline.org/taxonomy/p/taxonomy-history?taxnode_id=201856955","ICTVonline=201856955")</f>
        <v>ICTVonline=201856955</v>
      </c>
      <c r="AA3167" s="1">
        <v>201850000</v>
      </c>
      <c r="AB3167" s="1">
        <v>34</v>
      </c>
    </row>
    <row r="3168" spans="1:28" x14ac:dyDescent="0.15">
      <c r="A3168" s="1">
        <v>8097</v>
      </c>
      <c r="J3168" s="1" t="s">
        <v>1332</v>
      </c>
      <c r="L3168" s="1" t="s">
        <v>901</v>
      </c>
      <c r="N3168" s="1" t="s">
        <v>6670</v>
      </c>
      <c r="P3168" s="1" t="s">
        <v>6673</v>
      </c>
      <c r="Q3168" s="3">
        <v>0</v>
      </c>
      <c r="S3168" s="23" t="s">
        <v>5949</v>
      </c>
      <c r="T3168" s="23" t="s">
        <v>4929</v>
      </c>
      <c r="U3168" s="3">
        <v>34</v>
      </c>
      <c r="V3168" s="3" t="s">
        <v>6672</v>
      </c>
      <c r="W3168" s="45" t="str">
        <f>HYPERLINK("http://ictvonline.org/taxonomy/p/taxonomy-history?taxnode_id=201856956","ICTVonline=201856956")</f>
        <v>ICTVonline=201856956</v>
      </c>
      <c r="AA3168" s="1">
        <v>201850000</v>
      </c>
      <c r="AB3168" s="1">
        <v>34</v>
      </c>
    </row>
    <row r="3169" spans="1:28" x14ac:dyDescent="0.15">
      <c r="A3169" s="1">
        <v>8101</v>
      </c>
      <c r="J3169" s="1" t="s">
        <v>1332</v>
      </c>
      <c r="L3169" s="1" t="s">
        <v>901</v>
      </c>
      <c r="N3169" s="1" t="s">
        <v>6674</v>
      </c>
      <c r="P3169" s="1" t="s">
        <v>6675</v>
      </c>
      <c r="Q3169" s="3">
        <v>1</v>
      </c>
      <c r="S3169" s="23" t="s">
        <v>5949</v>
      </c>
      <c r="T3169" s="23" t="s">
        <v>4929</v>
      </c>
      <c r="U3169" s="3">
        <v>34</v>
      </c>
      <c r="V3169" s="3" t="s">
        <v>6676</v>
      </c>
      <c r="W3169" s="45" t="str">
        <f>HYPERLINK("http://ictvonline.org/taxonomy/p/taxonomy-history?taxnode_id=201856840","ICTVonline=201856840")</f>
        <v>ICTVonline=201856840</v>
      </c>
      <c r="AA3169" s="1">
        <v>201850000</v>
      </c>
      <c r="AB3169" s="1">
        <v>34</v>
      </c>
    </row>
    <row r="3170" spans="1:28" x14ac:dyDescent="0.15">
      <c r="A3170" s="1">
        <v>8103</v>
      </c>
      <c r="J3170" s="1" t="s">
        <v>1332</v>
      </c>
      <c r="L3170" s="1" t="s">
        <v>901</v>
      </c>
      <c r="N3170" s="1" t="s">
        <v>6674</v>
      </c>
      <c r="P3170" s="1" t="s">
        <v>6677</v>
      </c>
      <c r="Q3170" s="3">
        <v>0</v>
      </c>
      <c r="S3170" s="23" t="s">
        <v>5949</v>
      </c>
      <c r="T3170" s="23" t="s">
        <v>4929</v>
      </c>
      <c r="U3170" s="3">
        <v>34</v>
      </c>
      <c r="V3170" s="3" t="s">
        <v>6676</v>
      </c>
      <c r="W3170" s="45" t="str">
        <f>HYPERLINK("http://ictvonline.org/taxonomy/p/taxonomy-history?taxnode_id=201856841","ICTVonline=201856841")</f>
        <v>ICTVonline=201856841</v>
      </c>
      <c r="AA3170" s="1">
        <v>201850000</v>
      </c>
      <c r="AB3170" s="1">
        <v>34</v>
      </c>
    </row>
    <row r="3171" spans="1:28" x14ac:dyDescent="0.15">
      <c r="A3171" s="1">
        <v>8107</v>
      </c>
      <c r="J3171" s="1" t="s">
        <v>1332</v>
      </c>
      <c r="L3171" s="1" t="s">
        <v>901</v>
      </c>
      <c r="N3171" s="1" t="s">
        <v>4390</v>
      </c>
      <c r="P3171" s="1" t="s">
        <v>4391</v>
      </c>
      <c r="Q3171" s="3">
        <v>1</v>
      </c>
      <c r="S3171" s="23" t="s">
        <v>5949</v>
      </c>
      <c r="W3171" s="45" t="str">
        <f>HYPERLINK("http://ictvonline.org/taxonomy/p/taxonomy-history?taxnode_id=201850996","ICTVonline=201850996")</f>
        <v>ICTVonline=201850996</v>
      </c>
      <c r="AA3171" s="1">
        <v>201850000</v>
      </c>
      <c r="AB3171" s="1">
        <v>34</v>
      </c>
    </row>
    <row r="3172" spans="1:28" x14ac:dyDescent="0.15">
      <c r="A3172" s="1">
        <v>8109</v>
      </c>
      <c r="J3172" s="1" t="s">
        <v>1332</v>
      </c>
      <c r="L3172" s="1" t="s">
        <v>901</v>
      </c>
      <c r="N3172" s="1" t="s">
        <v>4390</v>
      </c>
      <c r="P3172" s="1" t="s">
        <v>4392</v>
      </c>
      <c r="Q3172" s="3">
        <v>0</v>
      </c>
      <c r="S3172" s="23" t="s">
        <v>5949</v>
      </c>
      <c r="W3172" s="45" t="str">
        <f>HYPERLINK("http://ictvonline.org/taxonomy/p/taxonomy-history?taxnode_id=201850997","ICTVonline=201850997")</f>
        <v>ICTVonline=201850997</v>
      </c>
      <c r="AA3172" s="1">
        <v>201850000</v>
      </c>
      <c r="AB3172" s="1">
        <v>34</v>
      </c>
    </row>
    <row r="3173" spans="1:28" x14ac:dyDescent="0.15">
      <c r="A3173" s="1">
        <v>8113</v>
      </c>
      <c r="J3173" s="1" t="s">
        <v>1332</v>
      </c>
      <c r="L3173" s="1" t="s">
        <v>901</v>
      </c>
      <c r="N3173" s="1" t="s">
        <v>6678</v>
      </c>
      <c r="P3173" s="1" t="s">
        <v>3449</v>
      </c>
      <c r="Q3173" s="3">
        <v>1</v>
      </c>
      <c r="S3173" s="23" t="s">
        <v>5949</v>
      </c>
      <c r="T3173" s="23" t="s">
        <v>6601</v>
      </c>
      <c r="U3173" s="3">
        <v>34</v>
      </c>
      <c r="V3173" s="3" t="s">
        <v>6602</v>
      </c>
      <c r="W3173" s="45" t="str">
        <f>HYPERLINK("http://ictvonline.org/taxonomy/p/taxonomy-history?taxnode_id=201851377","ICTVonline=201851377")</f>
        <v>ICTVonline=201851377</v>
      </c>
      <c r="AA3173" s="1">
        <v>201850000</v>
      </c>
      <c r="AB3173" s="1">
        <v>34</v>
      </c>
    </row>
    <row r="3174" spans="1:28" x14ac:dyDescent="0.15">
      <c r="A3174" s="1">
        <v>8117</v>
      </c>
      <c r="J3174" s="1" t="s">
        <v>1332</v>
      </c>
      <c r="L3174" s="1" t="s">
        <v>901</v>
      </c>
      <c r="N3174" s="1" t="s">
        <v>6679</v>
      </c>
      <c r="P3174" s="1" t="s">
        <v>6680</v>
      </c>
      <c r="Q3174" s="3">
        <v>0</v>
      </c>
      <c r="S3174" s="23" t="s">
        <v>5949</v>
      </c>
      <c r="T3174" s="23" t="s">
        <v>4929</v>
      </c>
      <c r="U3174" s="3">
        <v>34</v>
      </c>
      <c r="V3174" s="3" t="s">
        <v>6681</v>
      </c>
      <c r="W3174" s="45" t="str">
        <f>HYPERLINK("http://ictvonline.org/taxonomy/p/taxonomy-history?taxnode_id=201856745","ICTVonline=201856745")</f>
        <v>ICTVonline=201856745</v>
      </c>
      <c r="AA3174" s="1">
        <v>201850000</v>
      </c>
      <c r="AB3174" s="1">
        <v>34</v>
      </c>
    </row>
    <row r="3175" spans="1:28" x14ac:dyDescent="0.15">
      <c r="A3175" s="1">
        <v>8119</v>
      </c>
      <c r="J3175" s="1" t="s">
        <v>1332</v>
      </c>
      <c r="L3175" s="1" t="s">
        <v>901</v>
      </c>
      <c r="N3175" s="1" t="s">
        <v>6679</v>
      </c>
      <c r="P3175" s="1" t="s">
        <v>6682</v>
      </c>
      <c r="Q3175" s="3">
        <v>1</v>
      </c>
      <c r="S3175" s="23" t="s">
        <v>5949</v>
      </c>
      <c r="T3175" s="23" t="s">
        <v>4929</v>
      </c>
      <c r="U3175" s="3">
        <v>34</v>
      </c>
      <c r="V3175" s="3" t="s">
        <v>6681</v>
      </c>
      <c r="W3175" s="45" t="str">
        <f>HYPERLINK("http://ictvonline.org/taxonomy/p/taxonomy-history?taxnode_id=201856744","ICTVonline=201856744")</f>
        <v>ICTVonline=201856744</v>
      </c>
      <c r="AA3175" s="1">
        <v>201850000</v>
      </c>
      <c r="AB3175" s="1">
        <v>34</v>
      </c>
    </row>
    <row r="3176" spans="1:28" x14ac:dyDescent="0.15">
      <c r="A3176" s="1">
        <v>8123</v>
      </c>
      <c r="J3176" s="1" t="s">
        <v>1332</v>
      </c>
      <c r="L3176" s="1" t="s">
        <v>901</v>
      </c>
      <c r="N3176" s="1" t="s">
        <v>4393</v>
      </c>
      <c r="P3176" s="1" t="s">
        <v>4394</v>
      </c>
      <c r="Q3176" s="3">
        <v>0</v>
      </c>
      <c r="S3176" s="23" t="s">
        <v>5949</v>
      </c>
      <c r="W3176" s="45" t="str">
        <f>HYPERLINK("http://ictvonline.org/taxonomy/p/taxonomy-history?taxnode_id=201850999","ICTVonline=201850999")</f>
        <v>ICTVonline=201850999</v>
      </c>
      <c r="AA3176" s="1">
        <v>201850000</v>
      </c>
      <c r="AB3176" s="1">
        <v>34</v>
      </c>
    </row>
    <row r="3177" spans="1:28" x14ac:dyDescent="0.15">
      <c r="A3177" s="1">
        <v>8125</v>
      </c>
      <c r="J3177" s="1" t="s">
        <v>1332</v>
      </c>
      <c r="L3177" s="1" t="s">
        <v>901</v>
      </c>
      <c r="N3177" s="1" t="s">
        <v>4393</v>
      </c>
      <c r="P3177" s="1" t="s">
        <v>4395</v>
      </c>
      <c r="Q3177" s="3">
        <v>0</v>
      </c>
      <c r="S3177" s="23" t="s">
        <v>5949</v>
      </c>
      <c r="W3177" s="45" t="str">
        <f>HYPERLINK("http://ictvonline.org/taxonomy/p/taxonomy-history?taxnode_id=201851000","ICTVonline=201851000")</f>
        <v>ICTVonline=201851000</v>
      </c>
      <c r="AA3177" s="1">
        <v>201850000</v>
      </c>
      <c r="AB3177" s="1">
        <v>34</v>
      </c>
    </row>
    <row r="3178" spans="1:28" x14ac:dyDescent="0.15">
      <c r="A3178" s="1">
        <v>8127</v>
      </c>
      <c r="J3178" s="1" t="s">
        <v>1332</v>
      </c>
      <c r="L3178" s="1" t="s">
        <v>901</v>
      </c>
      <c r="N3178" s="1" t="s">
        <v>4393</v>
      </c>
      <c r="P3178" s="1" t="s">
        <v>4396</v>
      </c>
      <c r="Q3178" s="3">
        <v>0</v>
      </c>
      <c r="S3178" s="23" t="s">
        <v>5949</v>
      </c>
      <c r="W3178" s="45" t="str">
        <f>HYPERLINK("http://ictvonline.org/taxonomy/p/taxonomy-history?taxnode_id=201851001","ICTVonline=201851001")</f>
        <v>ICTVonline=201851001</v>
      </c>
      <c r="AA3178" s="1">
        <v>201850000</v>
      </c>
      <c r="AB3178" s="1">
        <v>34</v>
      </c>
    </row>
    <row r="3179" spans="1:28" x14ac:dyDescent="0.15">
      <c r="A3179" s="1">
        <v>8129</v>
      </c>
      <c r="J3179" s="1" t="s">
        <v>1332</v>
      </c>
      <c r="L3179" s="1" t="s">
        <v>901</v>
      </c>
      <c r="N3179" s="1" t="s">
        <v>4393</v>
      </c>
      <c r="P3179" s="1" t="s">
        <v>4397</v>
      </c>
      <c r="Q3179" s="3">
        <v>0</v>
      </c>
      <c r="S3179" s="23" t="s">
        <v>5949</v>
      </c>
      <c r="W3179" s="45" t="str">
        <f>HYPERLINK("http://ictvonline.org/taxonomy/p/taxonomy-history?taxnode_id=201851002","ICTVonline=201851002")</f>
        <v>ICTVonline=201851002</v>
      </c>
      <c r="AA3179" s="1">
        <v>201850000</v>
      </c>
      <c r="AB3179" s="1">
        <v>34</v>
      </c>
    </row>
    <row r="3180" spans="1:28" x14ac:dyDescent="0.15">
      <c r="A3180" s="1">
        <v>8131</v>
      </c>
      <c r="J3180" s="1" t="s">
        <v>1332</v>
      </c>
      <c r="L3180" s="1" t="s">
        <v>901</v>
      </c>
      <c r="N3180" s="1" t="s">
        <v>4393</v>
      </c>
      <c r="P3180" s="1" t="s">
        <v>4398</v>
      </c>
      <c r="Q3180" s="3">
        <v>0</v>
      </c>
      <c r="S3180" s="23" t="s">
        <v>5949</v>
      </c>
      <c r="W3180" s="45" t="str">
        <f>HYPERLINK("http://ictvonline.org/taxonomy/p/taxonomy-history?taxnode_id=201851003","ICTVonline=201851003")</f>
        <v>ICTVonline=201851003</v>
      </c>
      <c r="AA3180" s="1">
        <v>201850000</v>
      </c>
      <c r="AB3180" s="1">
        <v>34</v>
      </c>
    </row>
    <row r="3181" spans="1:28" x14ac:dyDescent="0.15">
      <c r="A3181" s="1">
        <v>8133</v>
      </c>
      <c r="J3181" s="1" t="s">
        <v>1332</v>
      </c>
      <c r="L3181" s="1" t="s">
        <v>901</v>
      </c>
      <c r="N3181" s="1" t="s">
        <v>4393</v>
      </c>
      <c r="P3181" s="1" t="s">
        <v>4399</v>
      </c>
      <c r="Q3181" s="3">
        <v>1</v>
      </c>
      <c r="S3181" s="23" t="s">
        <v>5949</v>
      </c>
      <c r="W3181" s="45" t="str">
        <f>HYPERLINK("http://ictvonline.org/taxonomy/p/taxonomy-history?taxnode_id=201851004","ICTVonline=201851004")</f>
        <v>ICTVonline=201851004</v>
      </c>
      <c r="AA3181" s="1">
        <v>201850000</v>
      </c>
      <c r="AB3181" s="1">
        <v>34</v>
      </c>
    </row>
    <row r="3182" spans="1:28" x14ac:dyDescent="0.15">
      <c r="A3182" s="1">
        <v>8135</v>
      </c>
      <c r="J3182" s="1" t="s">
        <v>1332</v>
      </c>
      <c r="L3182" s="1" t="s">
        <v>901</v>
      </c>
      <c r="N3182" s="1" t="s">
        <v>4393</v>
      </c>
      <c r="P3182" s="1" t="s">
        <v>4400</v>
      </c>
      <c r="Q3182" s="3">
        <v>0</v>
      </c>
      <c r="S3182" s="23" t="s">
        <v>5949</v>
      </c>
      <c r="W3182" s="45" t="str">
        <f>HYPERLINK("http://ictvonline.org/taxonomy/p/taxonomy-history?taxnode_id=201851005","ICTVonline=201851005")</f>
        <v>ICTVonline=201851005</v>
      </c>
      <c r="AA3182" s="1">
        <v>201850000</v>
      </c>
      <c r="AB3182" s="1">
        <v>34</v>
      </c>
    </row>
    <row r="3183" spans="1:28" x14ac:dyDescent="0.15">
      <c r="A3183" s="1">
        <v>8137</v>
      </c>
      <c r="J3183" s="1" t="s">
        <v>1332</v>
      </c>
      <c r="L3183" s="1" t="s">
        <v>901</v>
      </c>
      <c r="N3183" s="1" t="s">
        <v>4393</v>
      </c>
      <c r="P3183" s="1" t="s">
        <v>4401</v>
      </c>
      <c r="Q3183" s="3">
        <v>0</v>
      </c>
      <c r="S3183" s="23" t="s">
        <v>5949</v>
      </c>
      <c r="W3183" s="45" t="str">
        <f>HYPERLINK("http://ictvonline.org/taxonomy/p/taxonomy-history?taxnode_id=201851006","ICTVonline=201851006")</f>
        <v>ICTVonline=201851006</v>
      </c>
      <c r="AA3183" s="1">
        <v>201850000</v>
      </c>
      <c r="AB3183" s="1">
        <v>34</v>
      </c>
    </row>
    <row r="3184" spans="1:28" x14ac:dyDescent="0.15">
      <c r="A3184" s="1">
        <v>8139</v>
      </c>
      <c r="J3184" s="1" t="s">
        <v>1332</v>
      </c>
      <c r="L3184" s="1" t="s">
        <v>901</v>
      </c>
      <c r="N3184" s="1" t="s">
        <v>4393</v>
      </c>
      <c r="P3184" s="1" t="s">
        <v>4402</v>
      </c>
      <c r="Q3184" s="3">
        <v>0</v>
      </c>
      <c r="S3184" s="23" t="s">
        <v>5949</v>
      </c>
      <c r="W3184" s="45" t="str">
        <f>HYPERLINK("http://ictvonline.org/taxonomy/p/taxonomy-history?taxnode_id=201851007","ICTVonline=201851007")</f>
        <v>ICTVonline=201851007</v>
      </c>
      <c r="AA3184" s="1">
        <v>201850000</v>
      </c>
      <c r="AB3184" s="1">
        <v>34</v>
      </c>
    </row>
    <row r="3185" spans="1:28" x14ac:dyDescent="0.15">
      <c r="A3185" s="1">
        <v>8143</v>
      </c>
      <c r="J3185" s="1" t="s">
        <v>1332</v>
      </c>
      <c r="L3185" s="1" t="s">
        <v>901</v>
      </c>
      <c r="N3185" s="1" t="s">
        <v>6683</v>
      </c>
      <c r="P3185" s="1" t="s">
        <v>3176</v>
      </c>
      <c r="Q3185" s="3">
        <v>0</v>
      </c>
      <c r="S3185" s="23" t="s">
        <v>5949</v>
      </c>
      <c r="T3185" s="23" t="s">
        <v>4931</v>
      </c>
      <c r="U3185" s="3">
        <v>34</v>
      </c>
      <c r="W3185" s="45" t="str">
        <f>HYPERLINK("http://ictvonline.org/taxonomy/p/taxonomy-history?taxnode_id=201850930","ICTVonline=201850930")</f>
        <v>ICTVonline=201850930</v>
      </c>
      <c r="AA3185" s="1">
        <v>201850000</v>
      </c>
      <c r="AB3185" s="1">
        <v>34</v>
      </c>
    </row>
    <row r="3186" spans="1:28" x14ac:dyDescent="0.15">
      <c r="A3186" s="1">
        <v>8145</v>
      </c>
      <c r="J3186" s="1" t="s">
        <v>1332</v>
      </c>
      <c r="L3186" s="1" t="s">
        <v>901</v>
      </c>
      <c r="N3186" s="1" t="s">
        <v>6683</v>
      </c>
      <c r="P3186" s="1" t="s">
        <v>3177</v>
      </c>
      <c r="Q3186" s="3">
        <v>0</v>
      </c>
      <c r="S3186" s="23" t="s">
        <v>5949</v>
      </c>
      <c r="T3186" s="23" t="s">
        <v>4931</v>
      </c>
      <c r="U3186" s="3">
        <v>34</v>
      </c>
      <c r="W3186" s="45" t="str">
        <f>HYPERLINK("http://ictvonline.org/taxonomy/p/taxonomy-history?taxnode_id=201850931","ICTVonline=201850931")</f>
        <v>ICTVonline=201850931</v>
      </c>
      <c r="AA3186" s="1">
        <v>201850000</v>
      </c>
      <c r="AB3186" s="1">
        <v>34</v>
      </c>
    </row>
    <row r="3187" spans="1:28" x14ac:dyDescent="0.15">
      <c r="A3187" s="1">
        <v>8147</v>
      </c>
      <c r="J3187" s="1" t="s">
        <v>1332</v>
      </c>
      <c r="L3187" s="1" t="s">
        <v>901</v>
      </c>
      <c r="N3187" s="1" t="s">
        <v>6683</v>
      </c>
      <c r="P3187" s="1" t="s">
        <v>3178</v>
      </c>
      <c r="Q3187" s="3">
        <v>1</v>
      </c>
      <c r="S3187" s="23" t="s">
        <v>5949</v>
      </c>
      <c r="T3187" s="23" t="s">
        <v>4931</v>
      </c>
      <c r="U3187" s="3">
        <v>34</v>
      </c>
      <c r="V3187" s="3" t="s">
        <v>6561</v>
      </c>
      <c r="W3187" s="45" t="str">
        <f>HYPERLINK("http://ictvonline.org/taxonomy/p/taxonomy-history?taxnode_id=201850932","ICTVonline=201850932")</f>
        <v>ICTVonline=201850932</v>
      </c>
      <c r="AA3187" s="1">
        <v>201850000</v>
      </c>
      <c r="AB3187" s="1">
        <v>34</v>
      </c>
    </row>
    <row r="3188" spans="1:28" x14ac:dyDescent="0.15">
      <c r="A3188" s="1">
        <v>8149</v>
      </c>
      <c r="J3188" s="1" t="s">
        <v>1332</v>
      </c>
      <c r="L3188" s="1" t="s">
        <v>901</v>
      </c>
      <c r="N3188" s="1" t="s">
        <v>6683</v>
      </c>
      <c r="P3188" s="1" t="s">
        <v>3179</v>
      </c>
      <c r="Q3188" s="3">
        <v>0</v>
      </c>
      <c r="S3188" s="23" t="s">
        <v>5949</v>
      </c>
      <c r="T3188" s="23" t="s">
        <v>4931</v>
      </c>
      <c r="U3188" s="3">
        <v>34</v>
      </c>
      <c r="W3188" s="45" t="str">
        <f>HYPERLINK("http://ictvonline.org/taxonomy/p/taxonomy-history?taxnode_id=201850933","ICTVonline=201850933")</f>
        <v>ICTVonline=201850933</v>
      </c>
      <c r="AA3188" s="1">
        <v>201850000</v>
      </c>
      <c r="AB3188" s="1">
        <v>34</v>
      </c>
    </row>
    <row r="3189" spans="1:28" x14ac:dyDescent="0.15">
      <c r="A3189" s="1">
        <v>8151</v>
      </c>
      <c r="J3189" s="1" t="s">
        <v>1332</v>
      </c>
      <c r="L3189" s="1" t="s">
        <v>901</v>
      </c>
      <c r="N3189" s="1" t="s">
        <v>6683</v>
      </c>
      <c r="P3189" s="1" t="s">
        <v>3180</v>
      </c>
      <c r="Q3189" s="3">
        <v>0</v>
      </c>
      <c r="S3189" s="23" t="s">
        <v>5949</v>
      </c>
      <c r="T3189" s="23" t="s">
        <v>4931</v>
      </c>
      <c r="U3189" s="3">
        <v>34</v>
      </c>
      <c r="W3189" s="45" t="str">
        <f>HYPERLINK("http://ictvonline.org/taxonomy/p/taxonomy-history?taxnode_id=201850934","ICTVonline=201850934")</f>
        <v>ICTVonline=201850934</v>
      </c>
      <c r="AA3189" s="1">
        <v>201850000</v>
      </c>
      <c r="AB3189" s="1">
        <v>34</v>
      </c>
    </row>
    <row r="3190" spans="1:28" x14ac:dyDescent="0.15">
      <c r="A3190" s="1">
        <v>8153</v>
      </c>
      <c r="J3190" s="1" t="s">
        <v>1332</v>
      </c>
      <c r="L3190" s="1" t="s">
        <v>901</v>
      </c>
      <c r="N3190" s="1" t="s">
        <v>6683</v>
      </c>
      <c r="P3190" s="1" t="s">
        <v>3181</v>
      </c>
      <c r="Q3190" s="3">
        <v>0</v>
      </c>
      <c r="S3190" s="23" t="s">
        <v>5949</v>
      </c>
      <c r="T3190" s="23" t="s">
        <v>4931</v>
      </c>
      <c r="U3190" s="3">
        <v>34</v>
      </c>
      <c r="W3190" s="45" t="str">
        <f>HYPERLINK("http://ictvonline.org/taxonomy/p/taxonomy-history?taxnode_id=201850935","ICTVonline=201850935")</f>
        <v>ICTVonline=201850935</v>
      </c>
      <c r="AA3190" s="1">
        <v>201850000</v>
      </c>
      <c r="AB3190" s="1">
        <v>34</v>
      </c>
    </row>
    <row r="3191" spans="1:28" x14ac:dyDescent="0.15">
      <c r="A3191" s="1">
        <v>8155</v>
      </c>
      <c r="J3191" s="1" t="s">
        <v>1332</v>
      </c>
      <c r="L3191" s="1" t="s">
        <v>901</v>
      </c>
      <c r="N3191" s="1" t="s">
        <v>6683</v>
      </c>
      <c r="P3191" s="1" t="s">
        <v>3182</v>
      </c>
      <c r="Q3191" s="3">
        <v>0</v>
      </c>
      <c r="S3191" s="23" t="s">
        <v>5949</v>
      </c>
      <c r="T3191" s="23" t="s">
        <v>4931</v>
      </c>
      <c r="U3191" s="3">
        <v>34</v>
      </c>
      <c r="W3191" s="45" t="str">
        <f>HYPERLINK("http://ictvonline.org/taxonomy/p/taxonomy-history?taxnode_id=201850936","ICTVonline=201850936")</f>
        <v>ICTVonline=201850936</v>
      </c>
      <c r="AA3191" s="1">
        <v>201850000</v>
      </c>
      <c r="AB3191" s="1">
        <v>34</v>
      </c>
    </row>
    <row r="3192" spans="1:28" x14ac:dyDescent="0.15">
      <c r="A3192" s="1">
        <v>8157</v>
      </c>
      <c r="J3192" s="1" t="s">
        <v>1332</v>
      </c>
      <c r="L3192" s="1" t="s">
        <v>901</v>
      </c>
      <c r="N3192" s="1" t="s">
        <v>6683</v>
      </c>
      <c r="P3192" s="1" t="s">
        <v>3183</v>
      </c>
      <c r="Q3192" s="3">
        <v>0</v>
      </c>
      <c r="S3192" s="23" t="s">
        <v>5949</v>
      </c>
      <c r="T3192" s="23" t="s">
        <v>4931</v>
      </c>
      <c r="U3192" s="3">
        <v>34</v>
      </c>
      <c r="W3192" s="45" t="str">
        <f>HYPERLINK("http://ictvonline.org/taxonomy/p/taxonomy-history?taxnode_id=201850937","ICTVonline=201850937")</f>
        <v>ICTVonline=201850937</v>
      </c>
      <c r="AA3192" s="1">
        <v>201850000</v>
      </c>
      <c r="AB3192" s="1">
        <v>34</v>
      </c>
    </row>
    <row r="3193" spans="1:28" x14ac:dyDescent="0.15">
      <c r="A3193" s="1">
        <v>8159</v>
      </c>
      <c r="J3193" s="1" t="s">
        <v>1332</v>
      </c>
      <c r="L3193" s="1" t="s">
        <v>901</v>
      </c>
      <c r="N3193" s="1" t="s">
        <v>6683</v>
      </c>
      <c r="P3193" s="1" t="s">
        <v>3184</v>
      </c>
      <c r="Q3193" s="3">
        <v>0</v>
      </c>
      <c r="S3193" s="23" t="s">
        <v>5949</v>
      </c>
      <c r="T3193" s="23" t="s">
        <v>4931</v>
      </c>
      <c r="U3193" s="3">
        <v>34</v>
      </c>
      <c r="W3193" s="45" t="str">
        <f>HYPERLINK("http://ictvonline.org/taxonomy/p/taxonomy-history?taxnode_id=201850938","ICTVonline=201850938")</f>
        <v>ICTVonline=201850938</v>
      </c>
      <c r="AA3193" s="1">
        <v>201850000</v>
      </c>
      <c r="AB3193" s="1">
        <v>34</v>
      </c>
    </row>
    <row r="3194" spans="1:28" x14ac:dyDescent="0.15">
      <c r="A3194" s="1">
        <v>8163</v>
      </c>
      <c r="J3194" s="1" t="s">
        <v>1332</v>
      </c>
      <c r="L3194" s="1" t="s">
        <v>901</v>
      </c>
      <c r="N3194" s="1" t="s">
        <v>6684</v>
      </c>
      <c r="P3194" s="1" t="s">
        <v>6685</v>
      </c>
      <c r="Q3194" s="3">
        <v>1</v>
      </c>
      <c r="S3194" s="23" t="s">
        <v>5949</v>
      </c>
      <c r="T3194" s="23" t="s">
        <v>4929</v>
      </c>
      <c r="U3194" s="3">
        <v>34</v>
      </c>
      <c r="V3194" s="3" t="s">
        <v>6686</v>
      </c>
      <c r="W3194" s="45" t="str">
        <f>HYPERLINK("http://ictvonline.org/taxonomy/p/taxonomy-history?taxnode_id=201856845","ICTVonline=201856845")</f>
        <v>ICTVonline=201856845</v>
      </c>
      <c r="AA3194" s="1">
        <v>201850000</v>
      </c>
      <c r="AB3194" s="1">
        <v>34</v>
      </c>
    </row>
    <row r="3195" spans="1:28" x14ac:dyDescent="0.15">
      <c r="A3195" s="1">
        <v>8165</v>
      </c>
      <c r="J3195" s="1" t="s">
        <v>1332</v>
      </c>
      <c r="L3195" s="1" t="s">
        <v>901</v>
      </c>
      <c r="N3195" s="1" t="s">
        <v>6684</v>
      </c>
      <c r="P3195" s="1" t="s">
        <v>6687</v>
      </c>
      <c r="Q3195" s="3">
        <v>0</v>
      </c>
      <c r="S3195" s="23" t="s">
        <v>5949</v>
      </c>
      <c r="T3195" s="23" t="s">
        <v>4929</v>
      </c>
      <c r="U3195" s="3">
        <v>34</v>
      </c>
      <c r="V3195" s="3" t="s">
        <v>6686</v>
      </c>
      <c r="W3195" s="45" t="str">
        <f>HYPERLINK("http://ictvonline.org/taxonomy/p/taxonomy-history?taxnode_id=201856846","ICTVonline=201856846")</f>
        <v>ICTVonline=201856846</v>
      </c>
      <c r="AA3195" s="1">
        <v>201850000</v>
      </c>
      <c r="AB3195" s="1">
        <v>34</v>
      </c>
    </row>
    <row r="3196" spans="1:28" x14ac:dyDescent="0.15">
      <c r="A3196" s="1">
        <v>8169</v>
      </c>
      <c r="J3196" s="1" t="s">
        <v>1332</v>
      </c>
      <c r="L3196" s="1" t="s">
        <v>901</v>
      </c>
      <c r="N3196" s="1" t="s">
        <v>6688</v>
      </c>
      <c r="P3196" s="1" t="s">
        <v>6689</v>
      </c>
      <c r="Q3196" s="3">
        <v>1</v>
      </c>
      <c r="S3196" s="23" t="s">
        <v>5949</v>
      </c>
      <c r="T3196" s="23" t="s">
        <v>4929</v>
      </c>
      <c r="U3196" s="3">
        <v>34</v>
      </c>
      <c r="V3196" s="3" t="s">
        <v>6690</v>
      </c>
      <c r="W3196" s="45" t="str">
        <f>HYPERLINK("http://ictvonline.org/taxonomy/p/taxonomy-history?taxnode_id=201856848","ICTVonline=201856848")</f>
        <v>ICTVonline=201856848</v>
      </c>
      <c r="AA3196" s="1">
        <v>201850000</v>
      </c>
      <c r="AB3196" s="1">
        <v>34</v>
      </c>
    </row>
    <row r="3197" spans="1:28" x14ac:dyDescent="0.15">
      <c r="A3197" s="1">
        <v>8173</v>
      </c>
      <c r="J3197" s="1" t="s">
        <v>1332</v>
      </c>
      <c r="L3197" s="1" t="s">
        <v>901</v>
      </c>
      <c r="N3197" s="1" t="s">
        <v>3266</v>
      </c>
      <c r="P3197" s="1" t="s">
        <v>5087</v>
      </c>
      <c r="Q3197" s="3">
        <v>0</v>
      </c>
      <c r="S3197" s="23" t="s">
        <v>5949</v>
      </c>
      <c r="W3197" s="45" t="str">
        <f>HYPERLINK("http://ictvonline.org/taxonomy/p/taxonomy-history?taxnode_id=201855558","ICTVonline=201855558")</f>
        <v>ICTVonline=201855558</v>
      </c>
      <c r="AA3197" s="1">
        <v>201850000</v>
      </c>
      <c r="AB3197" s="1">
        <v>34</v>
      </c>
    </row>
    <row r="3198" spans="1:28" x14ac:dyDescent="0.15">
      <c r="A3198" s="1">
        <v>8175</v>
      </c>
      <c r="J3198" s="1" t="s">
        <v>1332</v>
      </c>
      <c r="L3198" s="1" t="s">
        <v>901</v>
      </c>
      <c r="N3198" s="1" t="s">
        <v>3266</v>
      </c>
      <c r="P3198" s="1" t="s">
        <v>5088</v>
      </c>
      <c r="Q3198" s="3">
        <v>0</v>
      </c>
      <c r="S3198" s="23" t="s">
        <v>5949</v>
      </c>
      <c r="W3198" s="45" t="str">
        <f>HYPERLINK("http://ictvonline.org/taxonomy/p/taxonomy-history?taxnode_id=201855559","ICTVonline=201855559")</f>
        <v>ICTVonline=201855559</v>
      </c>
      <c r="AA3198" s="1">
        <v>201850000</v>
      </c>
      <c r="AB3198" s="1">
        <v>34</v>
      </c>
    </row>
    <row r="3199" spans="1:28" x14ac:dyDescent="0.15">
      <c r="A3199" s="1">
        <v>8177</v>
      </c>
      <c r="J3199" s="1" t="s">
        <v>1332</v>
      </c>
      <c r="L3199" s="1" t="s">
        <v>901</v>
      </c>
      <c r="N3199" s="1" t="s">
        <v>3266</v>
      </c>
      <c r="P3199" s="1" t="s">
        <v>5089</v>
      </c>
      <c r="Q3199" s="3">
        <v>0</v>
      </c>
      <c r="S3199" s="23" t="s">
        <v>5949</v>
      </c>
      <c r="W3199" s="45" t="str">
        <f>HYPERLINK("http://ictvonline.org/taxonomy/p/taxonomy-history?taxnode_id=201855560","ICTVonline=201855560")</f>
        <v>ICTVonline=201855560</v>
      </c>
      <c r="AA3199" s="1">
        <v>201850000</v>
      </c>
      <c r="AB3199" s="1">
        <v>34</v>
      </c>
    </row>
    <row r="3200" spans="1:28" x14ac:dyDescent="0.15">
      <c r="A3200" s="1">
        <v>8179</v>
      </c>
      <c r="J3200" s="1" t="s">
        <v>1332</v>
      </c>
      <c r="L3200" s="1" t="s">
        <v>901</v>
      </c>
      <c r="N3200" s="1" t="s">
        <v>3266</v>
      </c>
      <c r="P3200" s="1" t="s">
        <v>3269</v>
      </c>
      <c r="Q3200" s="3">
        <v>1</v>
      </c>
      <c r="S3200" s="23" t="s">
        <v>5949</v>
      </c>
      <c r="W3200" s="45" t="str">
        <f>HYPERLINK("http://ictvonline.org/taxonomy/p/taxonomy-history?taxnode_id=201851072","ICTVonline=201851072")</f>
        <v>ICTVonline=201851072</v>
      </c>
      <c r="AA3200" s="1">
        <v>201850000</v>
      </c>
      <c r="AB3200" s="1">
        <v>34</v>
      </c>
    </row>
    <row r="3201" spans="1:28" x14ac:dyDescent="0.15">
      <c r="A3201" s="1">
        <v>8183</v>
      </c>
      <c r="J3201" s="1" t="s">
        <v>1332</v>
      </c>
      <c r="L3201" s="1" t="s">
        <v>901</v>
      </c>
      <c r="N3201" s="1" t="s">
        <v>4403</v>
      </c>
      <c r="P3201" s="1" t="s">
        <v>4404</v>
      </c>
      <c r="Q3201" s="3">
        <v>1</v>
      </c>
      <c r="S3201" s="23" t="s">
        <v>5949</v>
      </c>
      <c r="W3201" s="45" t="str">
        <f>HYPERLINK("http://ictvonline.org/taxonomy/p/taxonomy-history?taxnode_id=201851074","ICTVonline=201851074")</f>
        <v>ICTVonline=201851074</v>
      </c>
      <c r="AA3201" s="1">
        <v>201850000</v>
      </c>
      <c r="AB3201" s="1">
        <v>34</v>
      </c>
    </row>
    <row r="3202" spans="1:28" x14ac:dyDescent="0.15">
      <c r="A3202" s="1">
        <v>8187</v>
      </c>
      <c r="J3202" s="1" t="s">
        <v>1332</v>
      </c>
      <c r="L3202" s="1" t="s">
        <v>901</v>
      </c>
      <c r="N3202" s="1" t="s">
        <v>3270</v>
      </c>
      <c r="P3202" s="1" t="s">
        <v>3271</v>
      </c>
      <c r="Q3202" s="3">
        <v>1</v>
      </c>
      <c r="S3202" s="23" t="s">
        <v>5949</v>
      </c>
      <c r="W3202" s="45" t="str">
        <f>HYPERLINK("http://ictvonline.org/taxonomy/p/taxonomy-history?taxnode_id=201851076","ICTVonline=201851076")</f>
        <v>ICTVonline=201851076</v>
      </c>
      <c r="AA3202" s="1">
        <v>201850000</v>
      </c>
      <c r="AB3202" s="1">
        <v>34</v>
      </c>
    </row>
    <row r="3203" spans="1:28" x14ac:dyDescent="0.15">
      <c r="A3203" s="1">
        <v>8189</v>
      </c>
      <c r="J3203" s="1" t="s">
        <v>1332</v>
      </c>
      <c r="L3203" s="1" t="s">
        <v>901</v>
      </c>
      <c r="N3203" s="1" t="s">
        <v>3270</v>
      </c>
      <c r="P3203" s="1" t="s">
        <v>3272</v>
      </c>
      <c r="Q3203" s="3">
        <v>0</v>
      </c>
      <c r="S3203" s="23" t="s">
        <v>5949</v>
      </c>
      <c r="W3203" s="45" t="str">
        <f>HYPERLINK("http://ictvonline.org/taxonomy/p/taxonomy-history?taxnode_id=201851077","ICTVonline=201851077")</f>
        <v>ICTVonline=201851077</v>
      </c>
      <c r="AA3203" s="1">
        <v>201850000</v>
      </c>
      <c r="AB3203" s="1">
        <v>34</v>
      </c>
    </row>
    <row r="3204" spans="1:28" x14ac:dyDescent="0.15">
      <c r="A3204" s="1">
        <v>8193</v>
      </c>
      <c r="J3204" s="1" t="s">
        <v>1332</v>
      </c>
      <c r="L3204" s="1" t="s">
        <v>901</v>
      </c>
      <c r="N3204" s="1" t="s">
        <v>6691</v>
      </c>
      <c r="P3204" s="1" t="s">
        <v>6692</v>
      </c>
      <c r="Q3204" s="3">
        <v>1</v>
      </c>
      <c r="S3204" s="23" t="s">
        <v>5949</v>
      </c>
      <c r="T3204" s="23" t="s">
        <v>4929</v>
      </c>
      <c r="U3204" s="3">
        <v>34</v>
      </c>
      <c r="V3204" s="3" t="s">
        <v>6693</v>
      </c>
      <c r="W3204" s="45" t="str">
        <f>HYPERLINK("http://ictvonline.org/taxonomy/p/taxonomy-history?taxnode_id=201856774","ICTVonline=201856774")</f>
        <v>ICTVonline=201856774</v>
      </c>
      <c r="AA3204" s="1">
        <v>201850000</v>
      </c>
      <c r="AB3204" s="1">
        <v>34</v>
      </c>
    </row>
    <row r="3205" spans="1:28" x14ac:dyDescent="0.15">
      <c r="A3205" s="1">
        <v>8197</v>
      </c>
      <c r="J3205" s="1" t="s">
        <v>1332</v>
      </c>
      <c r="L3205" s="1" t="s">
        <v>901</v>
      </c>
      <c r="N3205" s="1" t="s">
        <v>6694</v>
      </c>
      <c r="P3205" s="1" t="s">
        <v>6695</v>
      </c>
      <c r="Q3205" s="3">
        <v>0</v>
      </c>
      <c r="S3205" s="23" t="s">
        <v>5949</v>
      </c>
      <c r="T3205" s="23" t="s">
        <v>4929</v>
      </c>
      <c r="U3205" s="3">
        <v>34</v>
      </c>
      <c r="V3205" s="3" t="s">
        <v>6696</v>
      </c>
      <c r="W3205" s="45" t="str">
        <f>HYPERLINK("http://ictvonline.org/taxonomy/p/taxonomy-history?taxnode_id=201856916","ICTVonline=201856916")</f>
        <v>ICTVonline=201856916</v>
      </c>
      <c r="AA3205" s="1">
        <v>201850000</v>
      </c>
      <c r="AB3205" s="1">
        <v>34</v>
      </c>
    </row>
    <row r="3206" spans="1:28" x14ac:dyDescent="0.15">
      <c r="A3206" s="1">
        <v>8199</v>
      </c>
      <c r="J3206" s="1" t="s">
        <v>1332</v>
      </c>
      <c r="L3206" s="1" t="s">
        <v>901</v>
      </c>
      <c r="N3206" s="1" t="s">
        <v>6694</v>
      </c>
      <c r="P3206" s="1" t="s">
        <v>6697</v>
      </c>
      <c r="Q3206" s="3">
        <v>1</v>
      </c>
      <c r="S3206" s="23" t="s">
        <v>5949</v>
      </c>
      <c r="T3206" s="23" t="s">
        <v>4929</v>
      </c>
      <c r="U3206" s="3">
        <v>34</v>
      </c>
      <c r="V3206" s="3" t="s">
        <v>6696</v>
      </c>
      <c r="W3206" s="45" t="str">
        <f>HYPERLINK("http://ictvonline.org/taxonomy/p/taxonomy-history?taxnode_id=201856915","ICTVonline=201856915")</f>
        <v>ICTVonline=201856915</v>
      </c>
      <c r="AA3206" s="1">
        <v>201850000</v>
      </c>
      <c r="AB3206" s="1">
        <v>34</v>
      </c>
    </row>
    <row r="3207" spans="1:28" x14ac:dyDescent="0.15">
      <c r="A3207" s="1">
        <v>8203</v>
      </c>
      <c r="J3207" s="1" t="s">
        <v>1332</v>
      </c>
      <c r="L3207" s="1" t="s">
        <v>901</v>
      </c>
      <c r="N3207" s="1" t="s">
        <v>6698</v>
      </c>
      <c r="P3207" s="1" t="s">
        <v>3307</v>
      </c>
      <c r="Q3207" s="3">
        <v>0</v>
      </c>
      <c r="S3207" s="23" t="s">
        <v>5949</v>
      </c>
      <c r="T3207" s="23" t="s">
        <v>4931</v>
      </c>
      <c r="U3207" s="3">
        <v>34</v>
      </c>
      <c r="W3207" s="45" t="str">
        <f>HYPERLINK("http://ictvonline.org/taxonomy/p/taxonomy-history?taxnode_id=201851185","ICTVonline=201851185")</f>
        <v>ICTVonline=201851185</v>
      </c>
      <c r="AA3207" s="1">
        <v>201850000</v>
      </c>
      <c r="AB3207" s="1">
        <v>34</v>
      </c>
    </row>
    <row r="3208" spans="1:28" x14ac:dyDescent="0.15">
      <c r="A3208" s="1">
        <v>8205</v>
      </c>
      <c r="J3208" s="1" t="s">
        <v>1332</v>
      </c>
      <c r="L3208" s="1" t="s">
        <v>901</v>
      </c>
      <c r="N3208" s="1" t="s">
        <v>6698</v>
      </c>
      <c r="P3208" s="1" t="s">
        <v>3308</v>
      </c>
      <c r="Q3208" s="3">
        <v>1</v>
      </c>
      <c r="S3208" s="23" t="s">
        <v>5949</v>
      </c>
      <c r="T3208" s="23" t="s">
        <v>4931</v>
      </c>
      <c r="U3208" s="3">
        <v>34</v>
      </c>
      <c r="W3208" s="45" t="str">
        <f>HYPERLINK("http://ictvonline.org/taxonomy/p/taxonomy-history?taxnode_id=201851186","ICTVonline=201851186")</f>
        <v>ICTVonline=201851186</v>
      </c>
      <c r="AA3208" s="1">
        <v>201850000</v>
      </c>
      <c r="AB3208" s="1">
        <v>34</v>
      </c>
    </row>
    <row r="3209" spans="1:28" x14ac:dyDescent="0.15">
      <c r="A3209" s="1">
        <v>8207</v>
      </c>
      <c r="J3209" s="1" t="s">
        <v>1332</v>
      </c>
      <c r="L3209" s="1" t="s">
        <v>901</v>
      </c>
      <c r="N3209" s="1" t="s">
        <v>6698</v>
      </c>
      <c r="P3209" s="1" t="s">
        <v>3309</v>
      </c>
      <c r="Q3209" s="3">
        <v>0</v>
      </c>
      <c r="S3209" s="23" t="s">
        <v>5949</v>
      </c>
      <c r="T3209" s="23" t="s">
        <v>4931</v>
      </c>
      <c r="U3209" s="3">
        <v>34</v>
      </c>
      <c r="W3209" s="45" t="str">
        <f>HYPERLINK("http://ictvonline.org/taxonomy/p/taxonomy-history?taxnode_id=201851187","ICTVonline=201851187")</f>
        <v>ICTVonline=201851187</v>
      </c>
      <c r="AA3209" s="1">
        <v>201850000</v>
      </c>
      <c r="AB3209" s="1">
        <v>34</v>
      </c>
    </row>
    <row r="3210" spans="1:28" x14ac:dyDescent="0.15">
      <c r="A3210" s="1">
        <v>8211</v>
      </c>
      <c r="J3210" s="1" t="s">
        <v>1332</v>
      </c>
      <c r="L3210" s="1" t="s">
        <v>901</v>
      </c>
      <c r="N3210" s="1" t="s">
        <v>6699</v>
      </c>
      <c r="P3210" s="1" t="s">
        <v>3438</v>
      </c>
      <c r="Q3210" s="3">
        <v>0</v>
      </c>
      <c r="S3210" s="23" t="s">
        <v>5949</v>
      </c>
      <c r="T3210" s="23" t="s">
        <v>4931</v>
      </c>
      <c r="U3210" s="3">
        <v>34</v>
      </c>
      <c r="W3210" s="45" t="str">
        <f>HYPERLINK("http://ictvonline.org/taxonomy/p/taxonomy-history?taxnode_id=201851353","ICTVonline=201851353")</f>
        <v>ICTVonline=201851353</v>
      </c>
      <c r="AA3210" s="1">
        <v>201850000</v>
      </c>
      <c r="AB3210" s="1">
        <v>34</v>
      </c>
    </row>
    <row r="3211" spans="1:28" x14ac:dyDescent="0.15">
      <c r="A3211" s="1">
        <v>8213</v>
      </c>
      <c r="J3211" s="1" t="s">
        <v>1332</v>
      </c>
      <c r="L3211" s="1" t="s">
        <v>901</v>
      </c>
      <c r="N3211" s="1" t="s">
        <v>6699</v>
      </c>
      <c r="P3211" s="1" t="s">
        <v>3439</v>
      </c>
      <c r="Q3211" s="3">
        <v>1</v>
      </c>
      <c r="S3211" s="23" t="s">
        <v>5949</v>
      </c>
      <c r="T3211" s="23" t="s">
        <v>4931</v>
      </c>
      <c r="U3211" s="3">
        <v>34</v>
      </c>
      <c r="W3211" s="45" t="str">
        <f>HYPERLINK("http://ictvonline.org/taxonomy/p/taxonomy-history?taxnode_id=201851354","ICTVonline=201851354")</f>
        <v>ICTVonline=201851354</v>
      </c>
      <c r="AA3211" s="1">
        <v>201850000</v>
      </c>
      <c r="AB3211" s="1">
        <v>34</v>
      </c>
    </row>
    <row r="3212" spans="1:28" x14ac:dyDescent="0.15">
      <c r="A3212" s="1">
        <v>8217</v>
      </c>
      <c r="J3212" s="1" t="s">
        <v>1332</v>
      </c>
      <c r="L3212" s="1" t="s">
        <v>901</v>
      </c>
      <c r="N3212" s="1" t="s">
        <v>6700</v>
      </c>
      <c r="P3212" s="1" t="s">
        <v>6701</v>
      </c>
      <c r="Q3212" s="3">
        <v>1</v>
      </c>
      <c r="S3212" s="23" t="s">
        <v>5949</v>
      </c>
      <c r="T3212" s="23" t="s">
        <v>4929</v>
      </c>
      <c r="U3212" s="3">
        <v>34</v>
      </c>
      <c r="V3212" s="3" t="s">
        <v>6702</v>
      </c>
      <c r="W3212" s="45" t="str">
        <f>HYPERLINK("http://ictvonline.org/taxonomy/p/taxonomy-history?taxnode_id=201856987","ICTVonline=201856987")</f>
        <v>ICTVonline=201856987</v>
      </c>
      <c r="AA3212" s="1">
        <v>201850000</v>
      </c>
      <c r="AB3212" s="1">
        <v>34</v>
      </c>
    </row>
    <row r="3213" spans="1:28" x14ac:dyDescent="0.15">
      <c r="A3213" s="1">
        <v>8221</v>
      </c>
      <c r="J3213" s="1" t="s">
        <v>1332</v>
      </c>
      <c r="L3213" s="1" t="s">
        <v>901</v>
      </c>
      <c r="N3213" s="1" t="s">
        <v>6703</v>
      </c>
      <c r="P3213" s="1" t="s">
        <v>3008</v>
      </c>
      <c r="Q3213" s="3">
        <v>1</v>
      </c>
      <c r="S3213" s="23" t="s">
        <v>5949</v>
      </c>
      <c r="T3213" s="23" t="s">
        <v>4931</v>
      </c>
      <c r="U3213" s="3">
        <v>34</v>
      </c>
      <c r="W3213" s="45" t="str">
        <f>HYPERLINK("http://ictvonline.org/taxonomy/p/taxonomy-history?taxnode_id=201850969","ICTVonline=201850969")</f>
        <v>ICTVonline=201850969</v>
      </c>
      <c r="AA3213" s="1">
        <v>201850000</v>
      </c>
      <c r="AB3213" s="1">
        <v>34</v>
      </c>
    </row>
    <row r="3214" spans="1:28" x14ac:dyDescent="0.15">
      <c r="A3214" s="1">
        <v>8223</v>
      </c>
      <c r="J3214" s="1" t="s">
        <v>1332</v>
      </c>
      <c r="L3214" s="1" t="s">
        <v>901</v>
      </c>
      <c r="N3214" s="1" t="s">
        <v>6703</v>
      </c>
      <c r="P3214" s="1" t="s">
        <v>3009</v>
      </c>
      <c r="Q3214" s="3">
        <v>0</v>
      </c>
      <c r="S3214" s="23" t="s">
        <v>5949</v>
      </c>
      <c r="T3214" s="23" t="s">
        <v>4931</v>
      </c>
      <c r="U3214" s="3">
        <v>34</v>
      </c>
      <c r="W3214" s="45" t="str">
        <f>HYPERLINK("http://ictvonline.org/taxonomy/p/taxonomy-history?taxnode_id=201850970","ICTVonline=201850970")</f>
        <v>ICTVonline=201850970</v>
      </c>
      <c r="AA3214" s="1">
        <v>201850000</v>
      </c>
      <c r="AB3214" s="1">
        <v>34</v>
      </c>
    </row>
    <row r="3215" spans="1:28" x14ac:dyDescent="0.15">
      <c r="A3215" s="1">
        <v>8227</v>
      </c>
      <c r="J3215" s="1" t="s">
        <v>1332</v>
      </c>
      <c r="L3215" s="1" t="s">
        <v>901</v>
      </c>
      <c r="N3215" s="1" t="s">
        <v>6704</v>
      </c>
      <c r="P3215" s="1" t="s">
        <v>3418</v>
      </c>
      <c r="Q3215" s="3">
        <v>0</v>
      </c>
      <c r="S3215" s="23" t="s">
        <v>5949</v>
      </c>
      <c r="T3215" s="23" t="s">
        <v>4931</v>
      </c>
      <c r="U3215" s="3">
        <v>34</v>
      </c>
      <c r="W3215" s="45" t="str">
        <f>HYPERLINK("http://ictvonline.org/taxonomy/p/taxonomy-history?taxnode_id=201851318","ICTVonline=201851318")</f>
        <v>ICTVonline=201851318</v>
      </c>
      <c r="AA3215" s="1">
        <v>201850000</v>
      </c>
      <c r="AB3215" s="1">
        <v>34</v>
      </c>
    </row>
    <row r="3216" spans="1:28" x14ac:dyDescent="0.15">
      <c r="A3216" s="1">
        <v>8229</v>
      </c>
      <c r="J3216" s="1" t="s">
        <v>1332</v>
      </c>
      <c r="L3216" s="1" t="s">
        <v>901</v>
      </c>
      <c r="N3216" s="1" t="s">
        <v>6704</v>
      </c>
      <c r="P3216" s="1" t="s">
        <v>3419</v>
      </c>
      <c r="Q3216" s="3">
        <v>1</v>
      </c>
      <c r="S3216" s="23" t="s">
        <v>5949</v>
      </c>
      <c r="T3216" s="23" t="s">
        <v>4931</v>
      </c>
      <c r="U3216" s="3">
        <v>34</v>
      </c>
      <c r="W3216" s="45" t="str">
        <f>HYPERLINK("http://ictvonline.org/taxonomy/p/taxonomy-history?taxnode_id=201851319","ICTVonline=201851319")</f>
        <v>ICTVonline=201851319</v>
      </c>
      <c r="AA3216" s="1">
        <v>201850000</v>
      </c>
      <c r="AB3216" s="1">
        <v>34</v>
      </c>
    </row>
    <row r="3217" spans="1:28" x14ac:dyDescent="0.15">
      <c r="A3217" s="1">
        <v>8233</v>
      </c>
      <c r="J3217" s="1" t="s">
        <v>1332</v>
      </c>
      <c r="L3217" s="1" t="s">
        <v>901</v>
      </c>
      <c r="N3217" s="1" t="s">
        <v>4405</v>
      </c>
      <c r="P3217" s="1" t="s">
        <v>4406</v>
      </c>
      <c r="Q3217" s="3">
        <v>1</v>
      </c>
      <c r="S3217" s="23" t="s">
        <v>5949</v>
      </c>
      <c r="W3217" s="45" t="str">
        <f>HYPERLINK("http://ictvonline.org/taxonomy/p/taxonomy-history?taxnode_id=201851079","ICTVonline=201851079")</f>
        <v>ICTVonline=201851079</v>
      </c>
      <c r="AA3217" s="1">
        <v>201850000</v>
      </c>
      <c r="AB3217" s="1">
        <v>34</v>
      </c>
    </row>
    <row r="3218" spans="1:28" x14ac:dyDescent="0.15">
      <c r="A3218" s="1">
        <v>8235</v>
      </c>
      <c r="J3218" s="1" t="s">
        <v>1332</v>
      </c>
      <c r="L3218" s="1" t="s">
        <v>901</v>
      </c>
      <c r="N3218" s="1" t="s">
        <v>4405</v>
      </c>
      <c r="P3218" s="1" t="s">
        <v>4407</v>
      </c>
      <c r="Q3218" s="3">
        <v>0</v>
      </c>
      <c r="S3218" s="23" t="s">
        <v>5949</v>
      </c>
      <c r="W3218" s="45" t="str">
        <f>HYPERLINK("http://ictvonline.org/taxonomy/p/taxonomy-history?taxnode_id=201851080","ICTVonline=201851080")</f>
        <v>ICTVonline=201851080</v>
      </c>
      <c r="AA3218" s="1">
        <v>201850000</v>
      </c>
      <c r="AB3218" s="1">
        <v>34</v>
      </c>
    </row>
    <row r="3219" spans="1:28" x14ac:dyDescent="0.15">
      <c r="A3219" s="1">
        <v>8239</v>
      </c>
      <c r="J3219" s="1" t="s">
        <v>1332</v>
      </c>
      <c r="L3219" s="1" t="s">
        <v>901</v>
      </c>
      <c r="N3219" s="1" t="s">
        <v>6705</v>
      </c>
      <c r="P3219" s="1" t="s">
        <v>6706</v>
      </c>
      <c r="Q3219" s="3">
        <v>1</v>
      </c>
      <c r="S3219" s="23" t="s">
        <v>5949</v>
      </c>
      <c r="T3219" s="23" t="s">
        <v>4929</v>
      </c>
      <c r="U3219" s="3">
        <v>34</v>
      </c>
      <c r="V3219" s="3" t="s">
        <v>6707</v>
      </c>
      <c r="W3219" s="45" t="str">
        <f>HYPERLINK("http://ictvonline.org/taxonomy/p/taxonomy-history?taxnode_id=201856747","ICTVonline=201856747")</f>
        <v>ICTVonline=201856747</v>
      </c>
      <c r="AA3219" s="1">
        <v>201850000</v>
      </c>
      <c r="AB3219" s="1">
        <v>34</v>
      </c>
    </row>
    <row r="3220" spans="1:28" x14ac:dyDescent="0.15">
      <c r="A3220" s="1">
        <v>8243</v>
      </c>
      <c r="J3220" s="1" t="s">
        <v>1332</v>
      </c>
      <c r="L3220" s="1" t="s">
        <v>901</v>
      </c>
      <c r="N3220" s="1" t="s">
        <v>6708</v>
      </c>
      <c r="P3220" s="1" t="s">
        <v>3383</v>
      </c>
      <c r="Q3220" s="3">
        <v>0</v>
      </c>
      <c r="S3220" s="23" t="s">
        <v>5949</v>
      </c>
      <c r="T3220" s="23" t="s">
        <v>4931</v>
      </c>
      <c r="U3220" s="3">
        <v>34</v>
      </c>
      <c r="W3220" s="45" t="str">
        <f>HYPERLINK("http://ictvonline.org/taxonomy/p/taxonomy-history?taxnode_id=201851273","ICTVonline=201851273")</f>
        <v>ICTVonline=201851273</v>
      </c>
      <c r="AA3220" s="1">
        <v>201850000</v>
      </c>
      <c r="AB3220" s="1">
        <v>34</v>
      </c>
    </row>
    <row r="3221" spans="1:28" x14ac:dyDescent="0.15">
      <c r="A3221" s="1">
        <v>8245</v>
      </c>
      <c r="J3221" s="1" t="s">
        <v>1332</v>
      </c>
      <c r="L3221" s="1" t="s">
        <v>901</v>
      </c>
      <c r="N3221" s="1" t="s">
        <v>6708</v>
      </c>
      <c r="P3221" s="1" t="s">
        <v>3384</v>
      </c>
      <c r="Q3221" s="3">
        <v>1</v>
      </c>
      <c r="S3221" s="23" t="s">
        <v>5949</v>
      </c>
      <c r="T3221" s="23" t="s">
        <v>4931</v>
      </c>
      <c r="U3221" s="3">
        <v>34</v>
      </c>
      <c r="W3221" s="45" t="str">
        <f>HYPERLINK("http://ictvonline.org/taxonomy/p/taxonomy-history?taxnode_id=201851274","ICTVonline=201851274")</f>
        <v>ICTVonline=201851274</v>
      </c>
      <c r="AA3221" s="1">
        <v>201850000</v>
      </c>
      <c r="AB3221" s="1">
        <v>34</v>
      </c>
    </row>
    <row r="3222" spans="1:28" x14ac:dyDescent="0.15">
      <c r="A3222" s="1">
        <v>8247</v>
      </c>
      <c r="J3222" s="1" t="s">
        <v>1332</v>
      </c>
      <c r="L3222" s="1" t="s">
        <v>901</v>
      </c>
      <c r="N3222" s="1" t="s">
        <v>6708</v>
      </c>
      <c r="P3222" s="1" t="s">
        <v>3385</v>
      </c>
      <c r="Q3222" s="3">
        <v>0</v>
      </c>
      <c r="S3222" s="23" t="s">
        <v>5949</v>
      </c>
      <c r="T3222" s="23" t="s">
        <v>4931</v>
      </c>
      <c r="U3222" s="3">
        <v>34</v>
      </c>
      <c r="W3222" s="45" t="str">
        <f>HYPERLINK("http://ictvonline.org/taxonomy/p/taxonomy-history?taxnode_id=201851275","ICTVonline=201851275")</f>
        <v>ICTVonline=201851275</v>
      </c>
      <c r="AA3222" s="1">
        <v>201850000</v>
      </c>
      <c r="AB3222" s="1">
        <v>34</v>
      </c>
    </row>
    <row r="3223" spans="1:28" x14ac:dyDescent="0.15">
      <c r="A3223" s="1">
        <v>8249</v>
      </c>
      <c r="J3223" s="1" t="s">
        <v>1332</v>
      </c>
      <c r="L3223" s="1" t="s">
        <v>901</v>
      </c>
      <c r="N3223" s="1" t="s">
        <v>6708</v>
      </c>
      <c r="P3223" s="1" t="s">
        <v>3386</v>
      </c>
      <c r="Q3223" s="3">
        <v>0</v>
      </c>
      <c r="S3223" s="23" t="s">
        <v>5949</v>
      </c>
      <c r="T3223" s="23" t="s">
        <v>4931</v>
      </c>
      <c r="U3223" s="3">
        <v>34</v>
      </c>
      <c r="W3223" s="45" t="str">
        <f>HYPERLINK("http://ictvonline.org/taxonomy/p/taxonomy-history?taxnode_id=201851276","ICTVonline=201851276")</f>
        <v>ICTVonline=201851276</v>
      </c>
      <c r="AA3223" s="1">
        <v>201850000</v>
      </c>
      <c r="AB3223" s="1">
        <v>34</v>
      </c>
    </row>
    <row r="3224" spans="1:28" x14ac:dyDescent="0.15">
      <c r="A3224" s="1">
        <v>8251</v>
      </c>
      <c r="J3224" s="1" t="s">
        <v>1332</v>
      </c>
      <c r="L3224" s="1" t="s">
        <v>901</v>
      </c>
      <c r="N3224" s="1" t="s">
        <v>6708</v>
      </c>
      <c r="P3224" s="1" t="s">
        <v>3387</v>
      </c>
      <c r="Q3224" s="3">
        <v>0</v>
      </c>
      <c r="S3224" s="23" t="s">
        <v>5949</v>
      </c>
      <c r="T3224" s="23" t="s">
        <v>4931</v>
      </c>
      <c r="U3224" s="3">
        <v>34</v>
      </c>
      <c r="W3224" s="45" t="str">
        <f>HYPERLINK("http://ictvonline.org/taxonomy/p/taxonomy-history?taxnode_id=201851277","ICTVonline=201851277")</f>
        <v>ICTVonline=201851277</v>
      </c>
      <c r="AA3224" s="1">
        <v>201850000</v>
      </c>
      <c r="AB3224" s="1">
        <v>34</v>
      </c>
    </row>
    <row r="3225" spans="1:28" x14ac:dyDescent="0.15">
      <c r="A3225" s="1">
        <v>8255</v>
      </c>
      <c r="J3225" s="1" t="s">
        <v>1332</v>
      </c>
      <c r="L3225" s="1" t="s">
        <v>901</v>
      </c>
      <c r="N3225" s="1" t="s">
        <v>4408</v>
      </c>
      <c r="P3225" s="1" t="s">
        <v>4409</v>
      </c>
      <c r="Q3225" s="3">
        <v>0</v>
      </c>
      <c r="S3225" s="23" t="s">
        <v>5949</v>
      </c>
      <c r="W3225" s="45" t="str">
        <f>HYPERLINK("http://ictvonline.org/taxonomy/p/taxonomy-history?taxnode_id=201851082","ICTVonline=201851082")</f>
        <v>ICTVonline=201851082</v>
      </c>
      <c r="AA3225" s="1">
        <v>201850000</v>
      </c>
      <c r="AB3225" s="1">
        <v>34</v>
      </c>
    </row>
    <row r="3226" spans="1:28" x14ac:dyDescent="0.15">
      <c r="A3226" s="1">
        <v>8257</v>
      </c>
      <c r="J3226" s="1" t="s">
        <v>1332</v>
      </c>
      <c r="L3226" s="1" t="s">
        <v>901</v>
      </c>
      <c r="N3226" s="1" t="s">
        <v>4408</v>
      </c>
      <c r="P3226" s="1" t="s">
        <v>4410</v>
      </c>
      <c r="Q3226" s="3">
        <v>1</v>
      </c>
      <c r="S3226" s="23" t="s">
        <v>5949</v>
      </c>
      <c r="W3226" s="45" t="str">
        <f>HYPERLINK("http://ictvonline.org/taxonomy/p/taxonomy-history?taxnode_id=201851083","ICTVonline=201851083")</f>
        <v>ICTVonline=201851083</v>
      </c>
      <c r="AA3226" s="1">
        <v>201850000</v>
      </c>
      <c r="AB3226" s="1">
        <v>34</v>
      </c>
    </row>
    <row r="3227" spans="1:28" x14ac:dyDescent="0.15">
      <c r="A3227" s="1">
        <v>8261</v>
      </c>
      <c r="J3227" s="1" t="s">
        <v>1332</v>
      </c>
      <c r="L3227" s="1" t="s">
        <v>901</v>
      </c>
      <c r="N3227" s="1" t="s">
        <v>6709</v>
      </c>
      <c r="P3227" s="1" t="s">
        <v>6710</v>
      </c>
      <c r="Q3227" s="3">
        <v>1</v>
      </c>
      <c r="S3227" s="23" t="s">
        <v>5949</v>
      </c>
      <c r="T3227" s="23" t="s">
        <v>4929</v>
      </c>
      <c r="U3227" s="3">
        <v>34</v>
      </c>
      <c r="V3227" s="3" t="s">
        <v>6711</v>
      </c>
      <c r="W3227" s="45" t="str">
        <f>HYPERLINK("http://ictvonline.org/taxonomy/p/taxonomy-history?taxnode_id=201857058","ICTVonline=201857058")</f>
        <v>ICTVonline=201857058</v>
      </c>
      <c r="AA3227" s="1">
        <v>201850000</v>
      </c>
      <c r="AB3227" s="1">
        <v>34</v>
      </c>
    </row>
    <row r="3228" spans="1:28" x14ac:dyDescent="0.15">
      <c r="A3228" s="1">
        <v>8265</v>
      </c>
      <c r="J3228" s="1" t="s">
        <v>1332</v>
      </c>
      <c r="L3228" s="1" t="s">
        <v>901</v>
      </c>
      <c r="N3228" s="1" t="s">
        <v>6712</v>
      </c>
      <c r="P3228" s="1" t="s">
        <v>6713</v>
      </c>
      <c r="Q3228" s="3">
        <v>1</v>
      </c>
      <c r="S3228" s="23" t="s">
        <v>5949</v>
      </c>
      <c r="T3228" s="23" t="s">
        <v>4929</v>
      </c>
      <c r="U3228" s="3">
        <v>34</v>
      </c>
      <c r="V3228" s="3" t="s">
        <v>6714</v>
      </c>
      <c r="W3228" s="45" t="str">
        <f>HYPERLINK("http://ictvonline.org/taxonomy/p/taxonomy-history?taxnode_id=201856879","ICTVonline=201856879")</f>
        <v>ICTVonline=201856879</v>
      </c>
      <c r="AA3228" s="1">
        <v>201850000</v>
      </c>
      <c r="AB3228" s="1">
        <v>34</v>
      </c>
    </row>
    <row r="3229" spans="1:28" x14ac:dyDescent="0.15">
      <c r="A3229" s="1">
        <v>8269</v>
      </c>
      <c r="J3229" s="1" t="s">
        <v>1332</v>
      </c>
      <c r="L3229" s="1" t="s">
        <v>901</v>
      </c>
      <c r="N3229" s="1" t="s">
        <v>6715</v>
      </c>
      <c r="P3229" s="1" t="s">
        <v>6716</v>
      </c>
      <c r="Q3229" s="3">
        <v>1</v>
      </c>
      <c r="S3229" s="23" t="s">
        <v>5949</v>
      </c>
      <c r="T3229" s="23" t="s">
        <v>4929</v>
      </c>
      <c r="U3229" s="3">
        <v>34</v>
      </c>
      <c r="V3229" s="3" t="s">
        <v>6717</v>
      </c>
      <c r="W3229" s="45" t="str">
        <f>HYPERLINK("http://ictvonline.org/taxonomy/p/taxonomy-history?taxnode_id=201856852","ICTVonline=201856852")</f>
        <v>ICTVonline=201856852</v>
      </c>
      <c r="AA3229" s="1">
        <v>201850000</v>
      </c>
      <c r="AB3229" s="1">
        <v>34</v>
      </c>
    </row>
    <row r="3230" spans="1:28" x14ac:dyDescent="0.15">
      <c r="A3230" s="1">
        <v>8273</v>
      </c>
      <c r="J3230" s="1" t="s">
        <v>1332</v>
      </c>
      <c r="L3230" s="1" t="s">
        <v>901</v>
      </c>
      <c r="N3230" s="1" t="s">
        <v>6718</v>
      </c>
      <c r="P3230" s="1" t="s">
        <v>4411</v>
      </c>
      <c r="Q3230" s="3">
        <v>1</v>
      </c>
      <c r="S3230" s="23" t="s">
        <v>5949</v>
      </c>
      <c r="T3230" s="23" t="s">
        <v>4931</v>
      </c>
      <c r="U3230" s="3">
        <v>34</v>
      </c>
      <c r="W3230" s="45" t="str">
        <f>HYPERLINK("http://ictvonline.org/taxonomy/p/taxonomy-history?taxnode_id=201851092","ICTVonline=201851092")</f>
        <v>ICTVonline=201851092</v>
      </c>
      <c r="AA3230" s="1">
        <v>201850000</v>
      </c>
      <c r="AB3230" s="1">
        <v>34</v>
      </c>
    </row>
    <row r="3231" spans="1:28" x14ac:dyDescent="0.15">
      <c r="A3231" s="1">
        <v>8275</v>
      </c>
      <c r="J3231" s="1" t="s">
        <v>1332</v>
      </c>
      <c r="L3231" s="1" t="s">
        <v>901</v>
      </c>
      <c r="N3231" s="1" t="s">
        <v>6718</v>
      </c>
      <c r="P3231" s="1" t="s">
        <v>4412</v>
      </c>
      <c r="Q3231" s="3">
        <v>0</v>
      </c>
      <c r="S3231" s="23" t="s">
        <v>5949</v>
      </c>
      <c r="T3231" s="23" t="s">
        <v>4931</v>
      </c>
      <c r="U3231" s="3">
        <v>34</v>
      </c>
      <c r="W3231" s="45" t="str">
        <f>HYPERLINK("http://ictvonline.org/taxonomy/p/taxonomy-history?taxnode_id=201851093","ICTVonline=201851093")</f>
        <v>ICTVonline=201851093</v>
      </c>
      <c r="AA3231" s="1">
        <v>201850000</v>
      </c>
      <c r="AB3231" s="1">
        <v>34</v>
      </c>
    </row>
    <row r="3232" spans="1:28" x14ac:dyDescent="0.15">
      <c r="A3232" s="1">
        <v>8279</v>
      </c>
      <c r="J3232" s="1" t="s">
        <v>1332</v>
      </c>
      <c r="L3232" s="1" t="s">
        <v>901</v>
      </c>
      <c r="N3232" s="1" t="s">
        <v>3274</v>
      </c>
      <c r="P3232" s="1" t="s">
        <v>3275</v>
      </c>
      <c r="Q3232" s="3">
        <v>1</v>
      </c>
      <c r="S3232" s="23" t="s">
        <v>5949</v>
      </c>
      <c r="W3232" s="45" t="str">
        <f>HYPERLINK("http://ictvonline.org/taxonomy/p/taxonomy-history?taxnode_id=201851087","ICTVonline=201851087")</f>
        <v>ICTVonline=201851087</v>
      </c>
      <c r="AA3232" s="1">
        <v>201850000</v>
      </c>
      <c r="AB3232" s="1">
        <v>34</v>
      </c>
    </row>
    <row r="3233" spans="1:28" x14ac:dyDescent="0.15">
      <c r="A3233" s="1">
        <v>8281</v>
      </c>
      <c r="J3233" s="1" t="s">
        <v>1332</v>
      </c>
      <c r="L3233" s="1" t="s">
        <v>901</v>
      </c>
      <c r="N3233" s="1" t="s">
        <v>3274</v>
      </c>
      <c r="P3233" s="1" t="s">
        <v>3276</v>
      </c>
      <c r="Q3233" s="3">
        <v>0</v>
      </c>
      <c r="S3233" s="23" t="s">
        <v>5949</v>
      </c>
      <c r="W3233" s="45" t="str">
        <f>HYPERLINK("http://ictvonline.org/taxonomy/p/taxonomy-history?taxnode_id=201851088","ICTVonline=201851088")</f>
        <v>ICTVonline=201851088</v>
      </c>
      <c r="AA3233" s="1">
        <v>201850000</v>
      </c>
      <c r="AB3233" s="1">
        <v>34</v>
      </c>
    </row>
    <row r="3234" spans="1:28" x14ac:dyDescent="0.15">
      <c r="A3234" s="1">
        <v>8283</v>
      </c>
      <c r="J3234" s="1" t="s">
        <v>1332</v>
      </c>
      <c r="L3234" s="1" t="s">
        <v>901</v>
      </c>
      <c r="N3234" s="1" t="s">
        <v>3274</v>
      </c>
      <c r="P3234" s="1" t="s">
        <v>3277</v>
      </c>
      <c r="Q3234" s="3">
        <v>0</v>
      </c>
      <c r="S3234" s="23" t="s">
        <v>5949</v>
      </c>
      <c r="W3234" s="45" t="str">
        <f>HYPERLINK("http://ictvonline.org/taxonomy/p/taxonomy-history?taxnode_id=201851089","ICTVonline=201851089")</f>
        <v>ICTVonline=201851089</v>
      </c>
      <c r="AA3234" s="1">
        <v>201850000</v>
      </c>
      <c r="AB3234" s="1">
        <v>34</v>
      </c>
    </row>
    <row r="3235" spans="1:28" x14ac:dyDescent="0.15">
      <c r="A3235" s="1">
        <v>8285</v>
      </c>
      <c r="J3235" s="1" t="s">
        <v>1332</v>
      </c>
      <c r="L3235" s="1" t="s">
        <v>901</v>
      </c>
      <c r="N3235" s="1" t="s">
        <v>3274</v>
      </c>
      <c r="P3235" s="1" t="s">
        <v>3278</v>
      </c>
      <c r="Q3235" s="3">
        <v>0</v>
      </c>
      <c r="S3235" s="23" t="s">
        <v>5949</v>
      </c>
      <c r="W3235" s="45" t="str">
        <f>HYPERLINK("http://ictvonline.org/taxonomy/p/taxonomy-history?taxnode_id=201851090","ICTVonline=201851090")</f>
        <v>ICTVonline=201851090</v>
      </c>
      <c r="AA3235" s="1">
        <v>201850000</v>
      </c>
      <c r="AB3235" s="1">
        <v>34</v>
      </c>
    </row>
    <row r="3236" spans="1:28" x14ac:dyDescent="0.15">
      <c r="A3236" s="1">
        <v>8287</v>
      </c>
      <c r="J3236" s="1" t="s">
        <v>1332</v>
      </c>
      <c r="L3236" s="1" t="s">
        <v>901</v>
      </c>
      <c r="N3236" s="1" t="s">
        <v>3274</v>
      </c>
      <c r="P3236" s="1" t="s">
        <v>6719</v>
      </c>
      <c r="Q3236" s="3">
        <v>0</v>
      </c>
      <c r="S3236" s="23" t="s">
        <v>5949</v>
      </c>
      <c r="T3236" s="23" t="s">
        <v>4929</v>
      </c>
      <c r="U3236" s="3">
        <v>34</v>
      </c>
      <c r="V3236" s="3" t="s">
        <v>6239</v>
      </c>
      <c r="W3236" s="45" t="str">
        <f>HYPERLINK("http://ictvonline.org/taxonomy/p/taxonomy-history?taxnode_id=201857077","ICTVonline=201857077")</f>
        <v>ICTVonline=201857077</v>
      </c>
      <c r="AA3236" s="1">
        <v>201850000</v>
      </c>
      <c r="AB3236" s="1">
        <v>34</v>
      </c>
    </row>
    <row r="3237" spans="1:28" x14ac:dyDescent="0.15">
      <c r="A3237" s="1">
        <v>8291</v>
      </c>
      <c r="J3237" s="1" t="s">
        <v>1332</v>
      </c>
      <c r="L3237" s="1" t="s">
        <v>901</v>
      </c>
      <c r="N3237" s="1" t="s">
        <v>3029</v>
      </c>
      <c r="P3237" s="1" t="s">
        <v>3030</v>
      </c>
      <c r="Q3237" s="3">
        <v>1</v>
      </c>
      <c r="S3237" s="23" t="s">
        <v>5949</v>
      </c>
      <c r="T3237" s="23" t="s">
        <v>4931</v>
      </c>
      <c r="U3237" s="3">
        <v>34</v>
      </c>
      <c r="W3237" s="45" t="str">
        <f>HYPERLINK("http://ictvonline.org/taxonomy/p/taxonomy-history?taxnode_id=201850674","ICTVonline=201850674")</f>
        <v>ICTVonline=201850674</v>
      </c>
      <c r="AA3237" s="1">
        <v>201850000</v>
      </c>
      <c r="AB3237" s="1">
        <v>34</v>
      </c>
    </row>
    <row r="3238" spans="1:28" x14ac:dyDescent="0.15">
      <c r="A3238" s="1">
        <v>8293</v>
      </c>
      <c r="J3238" s="1" t="s">
        <v>1332</v>
      </c>
      <c r="L3238" s="1" t="s">
        <v>901</v>
      </c>
      <c r="N3238" s="1" t="s">
        <v>3029</v>
      </c>
      <c r="P3238" s="1" t="s">
        <v>3031</v>
      </c>
      <c r="Q3238" s="3">
        <v>0</v>
      </c>
      <c r="S3238" s="23" t="s">
        <v>5949</v>
      </c>
      <c r="T3238" s="23" t="s">
        <v>4931</v>
      </c>
      <c r="U3238" s="3">
        <v>34</v>
      </c>
      <c r="W3238" s="45" t="str">
        <f>HYPERLINK("http://ictvonline.org/taxonomy/p/taxonomy-history?taxnode_id=201850675","ICTVonline=201850675")</f>
        <v>ICTVonline=201850675</v>
      </c>
      <c r="AA3238" s="1">
        <v>201850000</v>
      </c>
      <c r="AB3238" s="1">
        <v>34</v>
      </c>
    </row>
    <row r="3239" spans="1:28" x14ac:dyDescent="0.15">
      <c r="A3239" s="1">
        <v>8297</v>
      </c>
      <c r="J3239" s="1" t="s">
        <v>1332</v>
      </c>
      <c r="L3239" s="1" t="s">
        <v>901</v>
      </c>
      <c r="N3239" s="1" t="s">
        <v>6720</v>
      </c>
      <c r="P3239" s="1" t="s">
        <v>6721</v>
      </c>
      <c r="Q3239" s="3">
        <v>1</v>
      </c>
      <c r="S3239" s="23" t="s">
        <v>5949</v>
      </c>
      <c r="T3239" s="23" t="s">
        <v>4929</v>
      </c>
      <c r="U3239" s="3">
        <v>34</v>
      </c>
      <c r="V3239" s="3" t="s">
        <v>6722</v>
      </c>
      <c r="W3239" s="45" t="str">
        <f>HYPERLINK("http://ictvonline.org/taxonomy/p/taxonomy-history?taxnode_id=201857060","ICTVonline=201857060")</f>
        <v>ICTVonline=201857060</v>
      </c>
      <c r="AA3239" s="1">
        <v>201850000</v>
      </c>
      <c r="AB3239" s="1">
        <v>34</v>
      </c>
    </row>
    <row r="3240" spans="1:28" x14ac:dyDescent="0.15">
      <c r="A3240" s="1">
        <v>8301</v>
      </c>
      <c r="J3240" s="1" t="s">
        <v>1332</v>
      </c>
      <c r="L3240" s="1" t="s">
        <v>901</v>
      </c>
      <c r="N3240" s="1" t="s">
        <v>6723</v>
      </c>
      <c r="P3240" s="1" t="s">
        <v>6724</v>
      </c>
      <c r="Q3240" s="3">
        <v>1</v>
      </c>
      <c r="S3240" s="23" t="s">
        <v>5949</v>
      </c>
      <c r="T3240" s="23" t="s">
        <v>4929</v>
      </c>
      <c r="U3240" s="3">
        <v>34</v>
      </c>
      <c r="V3240" s="3" t="s">
        <v>6725</v>
      </c>
      <c r="W3240" s="45" t="str">
        <f>HYPERLINK("http://ictvonline.org/taxonomy/p/taxonomy-history?taxnode_id=201856692","ICTVonline=201856692")</f>
        <v>ICTVonline=201856692</v>
      </c>
      <c r="AA3240" s="1">
        <v>201850000</v>
      </c>
      <c r="AB3240" s="1">
        <v>34</v>
      </c>
    </row>
    <row r="3241" spans="1:28" x14ac:dyDescent="0.15">
      <c r="A3241" s="1">
        <v>8305</v>
      </c>
      <c r="J3241" s="1" t="s">
        <v>1332</v>
      </c>
      <c r="L3241" s="1" t="s">
        <v>901</v>
      </c>
      <c r="N3241" s="1" t="s">
        <v>3279</v>
      </c>
      <c r="P3241" s="1" t="s">
        <v>3280</v>
      </c>
      <c r="Q3241" s="3">
        <v>0</v>
      </c>
      <c r="S3241" s="23" t="s">
        <v>5949</v>
      </c>
      <c r="V3241" s="3" t="s">
        <v>6561</v>
      </c>
      <c r="W3241" s="45" t="str">
        <f>HYPERLINK("http://ictvonline.org/taxonomy/p/taxonomy-history?taxnode_id=201851095","ICTVonline=201851095")</f>
        <v>ICTVonline=201851095</v>
      </c>
      <c r="AA3241" s="1">
        <v>201850000</v>
      </c>
      <c r="AB3241" s="1">
        <v>34</v>
      </c>
    </row>
    <row r="3242" spans="1:28" x14ac:dyDescent="0.15">
      <c r="A3242" s="1">
        <v>8307</v>
      </c>
      <c r="J3242" s="1" t="s">
        <v>1332</v>
      </c>
      <c r="L3242" s="1" t="s">
        <v>901</v>
      </c>
      <c r="N3242" s="1" t="s">
        <v>3279</v>
      </c>
      <c r="P3242" s="1" t="s">
        <v>3281</v>
      </c>
      <c r="Q3242" s="3">
        <v>0</v>
      </c>
      <c r="S3242" s="23" t="s">
        <v>5949</v>
      </c>
      <c r="W3242" s="45" t="str">
        <f>HYPERLINK("http://ictvonline.org/taxonomy/p/taxonomy-history?taxnode_id=201851096","ICTVonline=201851096")</f>
        <v>ICTVonline=201851096</v>
      </c>
      <c r="AA3242" s="1">
        <v>201850000</v>
      </c>
      <c r="AB3242" s="1">
        <v>34</v>
      </c>
    </row>
    <row r="3243" spans="1:28" x14ac:dyDescent="0.15">
      <c r="A3243" s="1">
        <v>8309</v>
      </c>
      <c r="J3243" s="1" t="s">
        <v>1332</v>
      </c>
      <c r="L3243" s="1" t="s">
        <v>901</v>
      </c>
      <c r="N3243" s="1" t="s">
        <v>3279</v>
      </c>
      <c r="P3243" s="1" t="s">
        <v>3282</v>
      </c>
      <c r="Q3243" s="3">
        <v>0</v>
      </c>
      <c r="S3243" s="23" t="s">
        <v>5949</v>
      </c>
      <c r="V3243" s="3" t="s">
        <v>6561</v>
      </c>
      <c r="W3243" s="45" t="str">
        <f>HYPERLINK("http://ictvonline.org/taxonomy/p/taxonomy-history?taxnode_id=201851097","ICTVonline=201851097")</f>
        <v>ICTVonline=201851097</v>
      </c>
      <c r="AA3243" s="1">
        <v>201850000</v>
      </c>
      <c r="AB3243" s="1">
        <v>34</v>
      </c>
    </row>
    <row r="3244" spans="1:28" x14ac:dyDescent="0.15">
      <c r="A3244" s="1">
        <v>8311</v>
      </c>
      <c r="J3244" s="1" t="s">
        <v>1332</v>
      </c>
      <c r="L3244" s="1" t="s">
        <v>901</v>
      </c>
      <c r="N3244" s="1" t="s">
        <v>3279</v>
      </c>
      <c r="P3244" s="1" t="s">
        <v>3283</v>
      </c>
      <c r="Q3244" s="3">
        <v>1</v>
      </c>
      <c r="S3244" s="23" t="s">
        <v>5949</v>
      </c>
      <c r="W3244" s="45" t="str">
        <f>HYPERLINK("http://ictvonline.org/taxonomy/p/taxonomy-history?taxnode_id=201851098","ICTVonline=201851098")</f>
        <v>ICTVonline=201851098</v>
      </c>
      <c r="AA3244" s="1">
        <v>201850000</v>
      </c>
      <c r="AB3244" s="1">
        <v>34</v>
      </c>
    </row>
    <row r="3245" spans="1:28" x14ac:dyDescent="0.15">
      <c r="A3245" s="1">
        <v>8313</v>
      </c>
      <c r="J3245" s="1" t="s">
        <v>1332</v>
      </c>
      <c r="L3245" s="1" t="s">
        <v>901</v>
      </c>
      <c r="N3245" s="1" t="s">
        <v>3279</v>
      </c>
      <c r="P3245" s="1" t="s">
        <v>3284</v>
      </c>
      <c r="Q3245" s="3">
        <v>0</v>
      </c>
      <c r="S3245" s="23" t="s">
        <v>5949</v>
      </c>
      <c r="W3245" s="45" t="str">
        <f>HYPERLINK("http://ictvonline.org/taxonomy/p/taxonomy-history?taxnode_id=201851099","ICTVonline=201851099")</f>
        <v>ICTVonline=201851099</v>
      </c>
      <c r="AA3245" s="1">
        <v>201850000</v>
      </c>
      <c r="AB3245" s="1">
        <v>34</v>
      </c>
    </row>
    <row r="3246" spans="1:28" x14ac:dyDescent="0.15">
      <c r="A3246" s="1">
        <v>8315</v>
      </c>
      <c r="J3246" s="1" t="s">
        <v>1332</v>
      </c>
      <c r="L3246" s="1" t="s">
        <v>901</v>
      </c>
      <c r="N3246" s="1" t="s">
        <v>3279</v>
      </c>
      <c r="P3246" s="1" t="s">
        <v>3285</v>
      </c>
      <c r="Q3246" s="3">
        <v>0</v>
      </c>
      <c r="S3246" s="23" t="s">
        <v>5949</v>
      </c>
      <c r="W3246" s="45" t="str">
        <f>HYPERLINK("http://ictvonline.org/taxonomy/p/taxonomy-history?taxnode_id=201851100","ICTVonline=201851100")</f>
        <v>ICTVonline=201851100</v>
      </c>
      <c r="AA3246" s="1">
        <v>201850000</v>
      </c>
      <c r="AB3246" s="1">
        <v>34</v>
      </c>
    </row>
    <row r="3247" spans="1:28" x14ac:dyDescent="0.15">
      <c r="A3247" s="1">
        <v>8319</v>
      </c>
      <c r="J3247" s="1" t="s">
        <v>1332</v>
      </c>
      <c r="L3247" s="1" t="s">
        <v>901</v>
      </c>
      <c r="N3247" s="1" t="s">
        <v>6726</v>
      </c>
      <c r="P3247" s="1" t="s">
        <v>6727</v>
      </c>
      <c r="Q3247" s="3">
        <v>1</v>
      </c>
      <c r="S3247" s="23" t="s">
        <v>5949</v>
      </c>
      <c r="T3247" s="23" t="s">
        <v>4929</v>
      </c>
      <c r="U3247" s="3">
        <v>34</v>
      </c>
      <c r="V3247" s="3" t="s">
        <v>6728</v>
      </c>
      <c r="W3247" s="45" t="str">
        <f>HYPERLINK("http://ictvonline.org/taxonomy/p/taxonomy-history?taxnode_id=201856587","ICTVonline=201856587")</f>
        <v>ICTVonline=201856587</v>
      </c>
      <c r="AA3247" s="1">
        <v>201850000</v>
      </c>
      <c r="AB3247" s="1">
        <v>34</v>
      </c>
    </row>
    <row r="3248" spans="1:28" x14ac:dyDescent="0.15">
      <c r="A3248" s="1">
        <v>8323</v>
      </c>
      <c r="J3248" s="1" t="s">
        <v>1332</v>
      </c>
      <c r="L3248" s="1" t="s">
        <v>901</v>
      </c>
      <c r="N3248" s="1" t="s">
        <v>6729</v>
      </c>
      <c r="P3248" s="1" t="s">
        <v>3286</v>
      </c>
      <c r="Q3248" s="3">
        <v>1</v>
      </c>
      <c r="S3248" s="23" t="s">
        <v>5949</v>
      </c>
      <c r="T3248" s="23" t="s">
        <v>4931</v>
      </c>
      <c r="U3248" s="3">
        <v>34</v>
      </c>
      <c r="W3248" s="45" t="str">
        <f>HYPERLINK("http://ictvonline.org/taxonomy/p/taxonomy-history?taxnode_id=201851108","ICTVonline=201851108")</f>
        <v>ICTVonline=201851108</v>
      </c>
      <c r="AA3248" s="1">
        <v>201850000</v>
      </c>
      <c r="AB3248" s="1">
        <v>34</v>
      </c>
    </row>
    <row r="3249" spans="1:28" x14ac:dyDescent="0.15">
      <c r="A3249" s="1">
        <v>8325</v>
      </c>
      <c r="J3249" s="1" t="s">
        <v>1332</v>
      </c>
      <c r="L3249" s="1" t="s">
        <v>901</v>
      </c>
      <c r="N3249" s="1" t="s">
        <v>6729</v>
      </c>
      <c r="P3249" s="1" t="s">
        <v>3287</v>
      </c>
      <c r="Q3249" s="3">
        <v>0</v>
      </c>
      <c r="S3249" s="23" t="s">
        <v>5949</v>
      </c>
      <c r="T3249" s="23" t="s">
        <v>4931</v>
      </c>
      <c r="U3249" s="3">
        <v>34</v>
      </c>
      <c r="W3249" s="45" t="str">
        <f>HYPERLINK("http://ictvonline.org/taxonomy/p/taxonomy-history?taxnode_id=201851109","ICTVonline=201851109")</f>
        <v>ICTVonline=201851109</v>
      </c>
      <c r="AA3249" s="1">
        <v>201850000</v>
      </c>
      <c r="AB3249" s="1">
        <v>34</v>
      </c>
    </row>
    <row r="3250" spans="1:28" x14ac:dyDescent="0.15">
      <c r="A3250" s="1">
        <v>8329</v>
      </c>
      <c r="J3250" s="1" t="s">
        <v>1332</v>
      </c>
      <c r="L3250" s="1" t="s">
        <v>901</v>
      </c>
      <c r="N3250" s="1" t="s">
        <v>6730</v>
      </c>
      <c r="P3250" s="1" t="s">
        <v>4417</v>
      </c>
      <c r="Q3250" s="3">
        <v>0</v>
      </c>
      <c r="S3250" s="23" t="s">
        <v>5949</v>
      </c>
      <c r="T3250" s="23" t="s">
        <v>4931</v>
      </c>
      <c r="U3250" s="3">
        <v>34</v>
      </c>
      <c r="W3250" s="45" t="str">
        <f>HYPERLINK("http://ictvonline.org/taxonomy/p/taxonomy-history?taxnode_id=201851117","ICTVonline=201851117")</f>
        <v>ICTVonline=201851117</v>
      </c>
      <c r="AA3250" s="1">
        <v>201850000</v>
      </c>
      <c r="AB3250" s="1">
        <v>34</v>
      </c>
    </row>
    <row r="3251" spans="1:28" x14ac:dyDescent="0.15">
      <c r="A3251" s="1">
        <v>8331</v>
      </c>
      <c r="J3251" s="1" t="s">
        <v>1332</v>
      </c>
      <c r="L3251" s="1" t="s">
        <v>901</v>
      </c>
      <c r="N3251" s="1" t="s">
        <v>6730</v>
      </c>
      <c r="P3251" s="1" t="s">
        <v>4418</v>
      </c>
      <c r="Q3251" s="3">
        <v>0</v>
      </c>
      <c r="S3251" s="23" t="s">
        <v>5949</v>
      </c>
      <c r="T3251" s="23" t="s">
        <v>4931</v>
      </c>
      <c r="U3251" s="3">
        <v>34</v>
      </c>
      <c r="W3251" s="45" t="str">
        <f>HYPERLINK("http://ictvonline.org/taxonomy/p/taxonomy-history?taxnode_id=201851118","ICTVonline=201851118")</f>
        <v>ICTVonline=201851118</v>
      </c>
      <c r="AA3251" s="1">
        <v>201850000</v>
      </c>
      <c r="AB3251" s="1">
        <v>34</v>
      </c>
    </row>
    <row r="3252" spans="1:28" x14ac:dyDescent="0.15">
      <c r="A3252" s="1">
        <v>8333</v>
      </c>
      <c r="J3252" s="1" t="s">
        <v>1332</v>
      </c>
      <c r="L3252" s="1" t="s">
        <v>901</v>
      </c>
      <c r="N3252" s="1" t="s">
        <v>6730</v>
      </c>
      <c r="P3252" s="1" t="s">
        <v>4419</v>
      </c>
      <c r="Q3252" s="3">
        <v>0</v>
      </c>
      <c r="S3252" s="23" t="s">
        <v>5949</v>
      </c>
      <c r="T3252" s="23" t="s">
        <v>4931</v>
      </c>
      <c r="U3252" s="3">
        <v>34</v>
      </c>
      <c r="W3252" s="45" t="str">
        <f>HYPERLINK("http://ictvonline.org/taxonomy/p/taxonomy-history?taxnode_id=201851119","ICTVonline=201851119")</f>
        <v>ICTVonline=201851119</v>
      </c>
      <c r="AA3252" s="1">
        <v>201850000</v>
      </c>
      <c r="AB3252" s="1">
        <v>34</v>
      </c>
    </row>
    <row r="3253" spans="1:28" x14ac:dyDescent="0.15">
      <c r="A3253" s="1">
        <v>8335</v>
      </c>
      <c r="J3253" s="1" t="s">
        <v>1332</v>
      </c>
      <c r="L3253" s="1" t="s">
        <v>901</v>
      </c>
      <c r="N3253" s="1" t="s">
        <v>6730</v>
      </c>
      <c r="P3253" s="1" t="s">
        <v>4420</v>
      </c>
      <c r="Q3253" s="3">
        <v>0</v>
      </c>
      <c r="S3253" s="23" t="s">
        <v>5949</v>
      </c>
      <c r="T3253" s="23" t="s">
        <v>4931</v>
      </c>
      <c r="U3253" s="3">
        <v>34</v>
      </c>
      <c r="W3253" s="45" t="str">
        <f>HYPERLINK("http://ictvonline.org/taxonomy/p/taxonomy-history?taxnode_id=201851120","ICTVonline=201851120")</f>
        <v>ICTVonline=201851120</v>
      </c>
      <c r="AA3253" s="1">
        <v>201850000</v>
      </c>
      <c r="AB3253" s="1">
        <v>34</v>
      </c>
    </row>
    <row r="3254" spans="1:28" x14ac:dyDescent="0.15">
      <c r="A3254" s="1">
        <v>8337</v>
      </c>
      <c r="J3254" s="1" t="s">
        <v>1332</v>
      </c>
      <c r="L3254" s="1" t="s">
        <v>901</v>
      </c>
      <c r="N3254" s="1" t="s">
        <v>6730</v>
      </c>
      <c r="P3254" s="1" t="s">
        <v>4421</v>
      </c>
      <c r="Q3254" s="3">
        <v>0</v>
      </c>
      <c r="S3254" s="23" t="s">
        <v>5949</v>
      </c>
      <c r="T3254" s="23" t="s">
        <v>4931</v>
      </c>
      <c r="U3254" s="3">
        <v>34</v>
      </c>
      <c r="W3254" s="45" t="str">
        <f>HYPERLINK("http://ictvonline.org/taxonomy/p/taxonomy-history?taxnode_id=201851121","ICTVonline=201851121")</f>
        <v>ICTVonline=201851121</v>
      </c>
      <c r="AA3254" s="1">
        <v>201850000</v>
      </c>
      <c r="AB3254" s="1">
        <v>34</v>
      </c>
    </row>
    <row r="3255" spans="1:28" x14ac:dyDescent="0.15">
      <c r="A3255" s="1">
        <v>8339</v>
      </c>
      <c r="J3255" s="1" t="s">
        <v>1332</v>
      </c>
      <c r="L3255" s="1" t="s">
        <v>901</v>
      </c>
      <c r="N3255" s="1" t="s">
        <v>6730</v>
      </c>
      <c r="P3255" s="1" t="s">
        <v>4422</v>
      </c>
      <c r="Q3255" s="3">
        <v>0</v>
      </c>
      <c r="S3255" s="23" t="s">
        <v>5949</v>
      </c>
      <c r="T3255" s="23" t="s">
        <v>4931</v>
      </c>
      <c r="U3255" s="3">
        <v>34</v>
      </c>
      <c r="W3255" s="45" t="str">
        <f>HYPERLINK("http://ictvonline.org/taxonomy/p/taxonomy-history?taxnode_id=201851122","ICTVonline=201851122")</f>
        <v>ICTVonline=201851122</v>
      </c>
      <c r="AA3255" s="1">
        <v>201850000</v>
      </c>
      <c r="AB3255" s="1">
        <v>34</v>
      </c>
    </row>
    <row r="3256" spans="1:28" x14ac:dyDescent="0.15">
      <c r="A3256" s="1">
        <v>8341</v>
      </c>
      <c r="J3256" s="1" t="s">
        <v>1332</v>
      </c>
      <c r="L3256" s="1" t="s">
        <v>901</v>
      </c>
      <c r="N3256" s="1" t="s">
        <v>6730</v>
      </c>
      <c r="P3256" s="1" t="s">
        <v>4423</v>
      </c>
      <c r="Q3256" s="3">
        <v>0</v>
      </c>
      <c r="S3256" s="23" t="s">
        <v>5949</v>
      </c>
      <c r="T3256" s="23" t="s">
        <v>4931</v>
      </c>
      <c r="U3256" s="3">
        <v>34</v>
      </c>
      <c r="W3256" s="45" t="str">
        <f>HYPERLINK("http://ictvonline.org/taxonomy/p/taxonomy-history?taxnode_id=201851123","ICTVonline=201851123")</f>
        <v>ICTVonline=201851123</v>
      </c>
      <c r="AA3256" s="1">
        <v>201850000</v>
      </c>
      <c r="AB3256" s="1">
        <v>34</v>
      </c>
    </row>
    <row r="3257" spans="1:28" x14ac:dyDescent="0.15">
      <c r="A3257" s="1">
        <v>8343</v>
      </c>
      <c r="J3257" s="1" t="s">
        <v>1332</v>
      </c>
      <c r="L3257" s="1" t="s">
        <v>901</v>
      </c>
      <c r="N3257" s="1" t="s">
        <v>6730</v>
      </c>
      <c r="P3257" s="1" t="s">
        <v>4424</v>
      </c>
      <c r="Q3257" s="3">
        <v>0</v>
      </c>
      <c r="S3257" s="23" t="s">
        <v>5949</v>
      </c>
      <c r="T3257" s="23" t="s">
        <v>4931</v>
      </c>
      <c r="U3257" s="3">
        <v>34</v>
      </c>
      <c r="W3257" s="45" t="str">
        <f>HYPERLINK("http://ictvonline.org/taxonomy/p/taxonomy-history?taxnode_id=201851124","ICTVonline=201851124")</f>
        <v>ICTVonline=201851124</v>
      </c>
      <c r="AA3257" s="1">
        <v>201850000</v>
      </c>
      <c r="AB3257" s="1">
        <v>34</v>
      </c>
    </row>
    <row r="3258" spans="1:28" x14ac:dyDescent="0.15">
      <c r="A3258" s="1">
        <v>8345</v>
      </c>
      <c r="J3258" s="1" t="s">
        <v>1332</v>
      </c>
      <c r="L3258" s="1" t="s">
        <v>901</v>
      </c>
      <c r="N3258" s="1" t="s">
        <v>6730</v>
      </c>
      <c r="P3258" s="1" t="s">
        <v>4425</v>
      </c>
      <c r="Q3258" s="3">
        <v>0</v>
      </c>
      <c r="S3258" s="23" t="s">
        <v>5949</v>
      </c>
      <c r="T3258" s="23" t="s">
        <v>4931</v>
      </c>
      <c r="U3258" s="3">
        <v>34</v>
      </c>
      <c r="W3258" s="45" t="str">
        <f>HYPERLINK("http://ictvonline.org/taxonomy/p/taxonomy-history?taxnode_id=201851125","ICTVonline=201851125")</f>
        <v>ICTVonline=201851125</v>
      </c>
      <c r="AA3258" s="1">
        <v>201850000</v>
      </c>
      <c r="AB3258" s="1">
        <v>34</v>
      </c>
    </row>
    <row r="3259" spans="1:28" x14ac:dyDescent="0.15">
      <c r="A3259" s="1">
        <v>8347</v>
      </c>
      <c r="J3259" s="1" t="s">
        <v>1332</v>
      </c>
      <c r="L3259" s="1" t="s">
        <v>901</v>
      </c>
      <c r="N3259" s="1" t="s">
        <v>6730</v>
      </c>
      <c r="P3259" s="1" t="s">
        <v>4426</v>
      </c>
      <c r="Q3259" s="3">
        <v>0</v>
      </c>
      <c r="S3259" s="23" t="s">
        <v>5949</v>
      </c>
      <c r="T3259" s="23" t="s">
        <v>4931</v>
      </c>
      <c r="U3259" s="3">
        <v>34</v>
      </c>
      <c r="W3259" s="45" t="str">
        <f>HYPERLINK("http://ictvonline.org/taxonomy/p/taxonomy-history?taxnode_id=201851126","ICTVonline=201851126")</f>
        <v>ICTVonline=201851126</v>
      </c>
      <c r="AA3259" s="1">
        <v>201850000</v>
      </c>
      <c r="AB3259" s="1">
        <v>34</v>
      </c>
    </row>
    <row r="3260" spans="1:28" x14ac:dyDescent="0.15">
      <c r="A3260" s="1">
        <v>8349</v>
      </c>
      <c r="J3260" s="1" t="s">
        <v>1332</v>
      </c>
      <c r="L3260" s="1" t="s">
        <v>901</v>
      </c>
      <c r="N3260" s="1" t="s">
        <v>6730</v>
      </c>
      <c r="P3260" s="1" t="s">
        <v>4427</v>
      </c>
      <c r="Q3260" s="3">
        <v>0</v>
      </c>
      <c r="S3260" s="23" t="s">
        <v>5949</v>
      </c>
      <c r="T3260" s="23" t="s">
        <v>4931</v>
      </c>
      <c r="U3260" s="3">
        <v>34</v>
      </c>
      <c r="W3260" s="45" t="str">
        <f>HYPERLINK("http://ictvonline.org/taxonomy/p/taxonomy-history?taxnode_id=201851127","ICTVonline=201851127")</f>
        <v>ICTVonline=201851127</v>
      </c>
      <c r="AA3260" s="1">
        <v>201850000</v>
      </c>
      <c r="AB3260" s="1">
        <v>34</v>
      </c>
    </row>
    <row r="3261" spans="1:28" x14ac:dyDescent="0.15">
      <c r="A3261" s="1">
        <v>8351</v>
      </c>
      <c r="J3261" s="1" t="s">
        <v>1332</v>
      </c>
      <c r="L3261" s="1" t="s">
        <v>901</v>
      </c>
      <c r="N3261" s="1" t="s">
        <v>6730</v>
      </c>
      <c r="P3261" s="1" t="s">
        <v>4428</v>
      </c>
      <c r="Q3261" s="3">
        <v>0</v>
      </c>
      <c r="S3261" s="23" t="s">
        <v>5949</v>
      </c>
      <c r="T3261" s="23" t="s">
        <v>4931</v>
      </c>
      <c r="U3261" s="3">
        <v>34</v>
      </c>
      <c r="W3261" s="45" t="str">
        <f>HYPERLINK("http://ictvonline.org/taxonomy/p/taxonomy-history?taxnode_id=201851128","ICTVonline=201851128")</f>
        <v>ICTVonline=201851128</v>
      </c>
      <c r="AA3261" s="1">
        <v>201850000</v>
      </c>
      <c r="AB3261" s="1">
        <v>34</v>
      </c>
    </row>
    <row r="3262" spans="1:28" x14ac:dyDescent="0.15">
      <c r="A3262" s="1">
        <v>8353</v>
      </c>
      <c r="J3262" s="1" t="s">
        <v>1332</v>
      </c>
      <c r="L3262" s="1" t="s">
        <v>901</v>
      </c>
      <c r="N3262" s="1" t="s">
        <v>6730</v>
      </c>
      <c r="P3262" s="1" t="s">
        <v>4429</v>
      </c>
      <c r="Q3262" s="3">
        <v>0</v>
      </c>
      <c r="S3262" s="23" t="s">
        <v>5949</v>
      </c>
      <c r="T3262" s="23" t="s">
        <v>4931</v>
      </c>
      <c r="U3262" s="3">
        <v>34</v>
      </c>
      <c r="W3262" s="45" t="str">
        <f>HYPERLINK("http://ictvonline.org/taxonomy/p/taxonomy-history?taxnode_id=201851129","ICTVonline=201851129")</f>
        <v>ICTVonline=201851129</v>
      </c>
      <c r="AA3262" s="1">
        <v>201850000</v>
      </c>
      <c r="AB3262" s="1">
        <v>34</v>
      </c>
    </row>
    <row r="3263" spans="1:28" x14ac:dyDescent="0.15">
      <c r="A3263" s="1">
        <v>8355</v>
      </c>
      <c r="J3263" s="1" t="s">
        <v>1332</v>
      </c>
      <c r="L3263" s="1" t="s">
        <v>901</v>
      </c>
      <c r="N3263" s="1" t="s">
        <v>6730</v>
      </c>
      <c r="P3263" s="1" t="s">
        <v>4430</v>
      </c>
      <c r="Q3263" s="3">
        <v>0</v>
      </c>
      <c r="S3263" s="23" t="s">
        <v>5949</v>
      </c>
      <c r="T3263" s="23" t="s">
        <v>4931</v>
      </c>
      <c r="U3263" s="3">
        <v>34</v>
      </c>
      <c r="W3263" s="45" t="str">
        <f>HYPERLINK("http://ictvonline.org/taxonomy/p/taxonomy-history?taxnode_id=201851130","ICTVonline=201851130")</f>
        <v>ICTVonline=201851130</v>
      </c>
      <c r="AA3263" s="1">
        <v>201850000</v>
      </c>
      <c r="AB3263" s="1">
        <v>34</v>
      </c>
    </row>
    <row r="3264" spans="1:28" x14ac:dyDescent="0.15">
      <c r="A3264" s="1">
        <v>8357</v>
      </c>
      <c r="J3264" s="1" t="s">
        <v>1332</v>
      </c>
      <c r="L3264" s="1" t="s">
        <v>901</v>
      </c>
      <c r="N3264" s="1" t="s">
        <v>6730</v>
      </c>
      <c r="P3264" s="1" t="s">
        <v>4431</v>
      </c>
      <c r="Q3264" s="3">
        <v>0</v>
      </c>
      <c r="S3264" s="23" t="s">
        <v>5949</v>
      </c>
      <c r="T3264" s="23" t="s">
        <v>4931</v>
      </c>
      <c r="U3264" s="3">
        <v>34</v>
      </c>
      <c r="W3264" s="45" t="str">
        <f>HYPERLINK("http://ictvonline.org/taxonomy/p/taxonomy-history?taxnode_id=201851131","ICTVonline=201851131")</f>
        <v>ICTVonline=201851131</v>
      </c>
      <c r="AA3264" s="1">
        <v>201850000</v>
      </c>
      <c r="AB3264" s="1">
        <v>34</v>
      </c>
    </row>
    <row r="3265" spans="1:28" x14ac:dyDescent="0.15">
      <c r="A3265" s="1">
        <v>8359</v>
      </c>
      <c r="J3265" s="1" t="s">
        <v>1332</v>
      </c>
      <c r="L3265" s="1" t="s">
        <v>901</v>
      </c>
      <c r="N3265" s="1" t="s">
        <v>6730</v>
      </c>
      <c r="P3265" s="1" t="s">
        <v>4432</v>
      </c>
      <c r="Q3265" s="3">
        <v>0</v>
      </c>
      <c r="S3265" s="23" t="s">
        <v>5949</v>
      </c>
      <c r="T3265" s="23" t="s">
        <v>4931</v>
      </c>
      <c r="U3265" s="3">
        <v>34</v>
      </c>
      <c r="W3265" s="45" t="str">
        <f>HYPERLINK("http://ictvonline.org/taxonomy/p/taxonomy-history?taxnode_id=201851132","ICTVonline=201851132")</f>
        <v>ICTVonline=201851132</v>
      </c>
      <c r="AA3265" s="1">
        <v>201850000</v>
      </c>
      <c r="AB3265" s="1">
        <v>34</v>
      </c>
    </row>
    <row r="3266" spans="1:28" x14ac:dyDescent="0.15">
      <c r="A3266" s="1">
        <v>8361</v>
      </c>
      <c r="J3266" s="1" t="s">
        <v>1332</v>
      </c>
      <c r="L3266" s="1" t="s">
        <v>901</v>
      </c>
      <c r="N3266" s="1" t="s">
        <v>6730</v>
      </c>
      <c r="P3266" s="1" t="s">
        <v>4433</v>
      </c>
      <c r="Q3266" s="3">
        <v>0</v>
      </c>
      <c r="S3266" s="23" t="s">
        <v>5949</v>
      </c>
      <c r="T3266" s="23" t="s">
        <v>4931</v>
      </c>
      <c r="U3266" s="3">
        <v>34</v>
      </c>
      <c r="W3266" s="45" t="str">
        <f>HYPERLINK("http://ictvonline.org/taxonomy/p/taxonomy-history?taxnode_id=201851133","ICTVonline=201851133")</f>
        <v>ICTVonline=201851133</v>
      </c>
      <c r="AA3266" s="1">
        <v>201850000</v>
      </c>
      <c r="AB3266" s="1">
        <v>34</v>
      </c>
    </row>
    <row r="3267" spans="1:28" x14ac:dyDescent="0.15">
      <c r="A3267" s="1">
        <v>8363</v>
      </c>
      <c r="J3267" s="1" t="s">
        <v>1332</v>
      </c>
      <c r="L3267" s="1" t="s">
        <v>901</v>
      </c>
      <c r="N3267" s="1" t="s">
        <v>6730</v>
      </c>
      <c r="P3267" s="1" t="s">
        <v>4434</v>
      </c>
      <c r="Q3267" s="3">
        <v>1</v>
      </c>
      <c r="S3267" s="23" t="s">
        <v>5949</v>
      </c>
      <c r="T3267" s="23" t="s">
        <v>4931</v>
      </c>
      <c r="U3267" s="3">
        <v>34</v>
      </c>
      <c r="W3267" s="45" t="str">
        <f>HYPERLINK("http://ictvonline.org/taxonomy/p/taxonomy-history?taxnode_id=201851134","ICTVonline=201851134")</f>
        <v>ICTVonline=201851134</v>
      </c>
      <c r="AA3267" s="1">
        <v>201850000</v>
      </c>
      <c r="AB3267" s="1">
        <v>34</v>
      </c>
    </row>
    <row r="3268" spans="1:28" x14ac:dyDescent="0.15">
      <c r="A3268" s="1">
        <v>8365</v>
      </c>
      <c r="J3268" s="1" t="s">
        <v>1332</v>
      </c>
      <c r="L3268" s="1" t="s">
        <v>901</v>
      </c>
      <c r="N3268" s="1" t="s">
        <v>6730</v>
      </c>
      <c r="P3268" s="1" t="s">
        <v>4435</v>
      </c>
      <c r="Q3268" s="3">
        <v>0</v>
      </c>
      <c r="S3268" s="23" t="s">
        <v>5949</v>
      </c>
      <c r="T3268" s="23" t="s">
        <v>4931</v>
      </c>
      <c r="U3268" s="3">
        <v>34</v>
      </c>
      <c r="W3268" s="45" t="str">
        <f>HYPERLINK("http://ictvonline.org/taxonomy/p/taxonomy-history?taxnode_id=201851135","ICTVonline=201851135")</f>
        <v>ICTVonline=201851135</v>
      </c>
      <c r="AA3268" s="1">
        <v>201850000</v>
      </c>
      <c r="AB3268" s="1">
        <v>34</v>
      </c>
    </row>
    <row r="3269" spans="1:28" x14ac:dyDescent="0.15">
      <c r="A3269" s="1">
        <v>8367</v>
      </c>
      <c r="J3269" s="1" t="s">
        <v>1332</v>
      </c>
      <c r="L3269" s="1" t="s">
        <v>901</v>
      </c>
      <c r="N3269" s="1" t="s">
        <v>6730</v>
      </c>
      <c r="P3269" s="1" t="s">
        <v>4436</v>
      </c>
      <c r="Q3269" s="3">
        <v>0</v>
      </c>
      <c r="S3269" s="23" t="s">
        <v>5949</v>
      </c>
      <c r="T3269" s="23" t="s">
        <v>4931</v>
      </c>
      <c r="U3269" s="3">
        <v>34</v>
      </c>
      <c r="W3269" s="45" t="str">
        <f>HYPERLINK("http://ictvonline.org/taxonomy/p/taxonomy-history?taxnode_id=201851136","ICTVonline=201851136")</f>
        <v>ICTVonline=201851136</v>
      </c>
      <c r="AA3269" s="1">
        <v>201850000</v>
      </c>
      <c r="AB3269" s="1">
        <v>34</v>
      </c>
    </row>
    <row r="3270" spans="1:28" x14ac:dyDescent="0.15">
      <c r="A3270" s="1">
        <v>8369</v>
      </c>
      <c r="J3270" s="1" t="s">
        <v>1332</v>
      </c>
      <c r="L3270" s="1" t="s">
        <v>901</v>
      </c>
      <c r="N3270" s="1" t="s">
        <v>6730</v>
      </c>
      <c r="P3270" s="1" t="s">
        <v>4437</v>
      </c>
      <c r="Q3270" s="3">
        <v>0</v>
      </c>
      <c r="S3270" s="23" t="s">
        <v>5949</v>
      </c>
      <c r="T3270" s="23" t="s">
        <v>4931</v>
      </c>
      <c r="U3270" s="3">
        <v>34</v>
      </c>
      <c r="W3270" s="45" t="str">
        <f>HYPERLINK("http://ictvonline.org/taxonomy/p/taxonomy-history?taxnode_id=201851137","ICTVonline=201851137")</f>
        <v>ICTVonline=201851137</v>
      </c>
      <c r="AA3270" s="1">
        <v>201850000</v>
      </c>
      <c r="AB3270" s="1">
        <v>34</v>
      </c>
    </row>
    <row r="3271" spans="1:28" x14ac:dyDescent="0.15">
      <c r="A3271" s="1">
        <v>8371</v>
      </c>
      <c r="J3271" s="1" t="s">
        <v>1332</v>
      </c>
      <c r="L3271" s="1" t="s">
        <v>901</v>
      </c>
      <c r="N3271" s="1" t="s">
        <v>6730</v>
      </c>
      <c r="P3271" s="1" t="s">
        <v>4438</v>
      </c>
      <c r="Q3271" s="3">
        <v>0</v>
      </c>
      <c r="S3271" s="23" t="s">
        <v>5949</v>
      </c>
      <c r="T3271" s="23" t="s">
        <v>4931</v>
      </c>
      <c r="U3271" s="3">
        <v>34</v>
      </c>
      <c r="W3271" s="45" t="str">
        <f>HYPERLINK("http://ictvonline.org/taxonomy/p/taxonomy-history?taxnode_id=201851138","ICTVonline=201851138")</f>
        <v>ICTVonline=201851138</v>
      </c>
      <c r="AA3271" s="1">
        <v>201850000</v>
      </c>
      <c r="AB3271" s="1">
        <v>34</v>
      </c>
    </row>
    <row r="3272" spans="1:28" x14ac:dyDescent="0.15">
      <c r="A3272" s="1">
        <v>8373</v>
      </c>
      <c r="J3272" s="1" t="s">
        <v>1332</v>
      </c>
      <c r="L3272" s="1" t="s">
        <v>901</v>
      </c>
      <c r="N3272" s="1" t="s">
        <v>6730</v>
      </c>
      <c r="P3272" s="1" t="s">
        <v>4439</v>
      </c>
      <c r="Q3272" s="3">
        <v>0</v>
      </c>
      <c r="S3272" s="23" t="s">
        <v>5949</v>
      </c>
      <c r="T3272" s="23" t="s">
        <v>4931</v>
      </c>
      <c r="U3272" s="3">
        <v>34</v>
      </c>
      <c r="W3272" s="45" t="str">
        <f>HYPERLINK("http://ictvonline.org/taxonomy/p/taxonomy-history?taxnode_id=201851139","ICTVonline=201851139")</f>
        <v>ICTVonline=201851139</v>
      </c>
      <c r="AA3272" s="1">
        <v>201850000</v>
      </c>
      <c r="AB3272" s="1">
        <v>34</v>
      </c>
    </row>
    <row r="3273" spans="1:28" x14ac:dyDescent="0.15">
      <c r="A3273" s="1">
        <v>8375</v>
      </c>
      <c r="J3273" s="1" t="s">
        <v>1332</v>
      </c>
      <c r="L3273" s="1" t="s">
        <v>901</v>
      </c>
      <c r="N3273" s="1" t="s">
        <v>6730</v>
      </c>
      <c r="P3273" s="1" t="s">
        <v>4440</v>
      </c>
      <c r="Q3273" s="3">
        <v>0</v>
      </c>
      <c r="S3273" s="23" t="s">
        <v>5949</v>
      </c>
      <c r="T3273" s="23" t="s">
        <v>4931</v>
      </c>
      <c r="U3273" s="3">
        <v>34</v>
      </c>
      <c r="W3273" s="45" t="str">
        <f>HYPERLINK("http://ictvonline.org/taxonomy/p/taxonomy-history?taxnode_id=201851140","ICTVonline=201851140")</f>
        <v>ICTVonline=201851140</v>
      </c>
      <c r="AA3273" s="1">
        <v>201850000</v>
      </c>
      <c r="AB3273" s="1">
        <v>34</v>
      </c>
    </row>
    <row r="3274" spans="1:28" x14ac:dyDescent="0.15">
      <c r="A3274" s="1">
        <v>8377</v>
      </c>
      <c r="J3274" s="1" t="s">
        <v>1332</v>
      </c>
      <c r="L3274" s="1" t="s">
        <v>901</v>
      </c>
      <c r="N3274" s="1" t="s">
        <v>6730</v>
      </c>
      <c r="P3274" s="1" t="s">
        <v>4441</v>
      </c>
      <c r="Q3274" s="3">
        <v>0</v>
      </c>
      <c r="S3274" s="23" t="s">
        <v>5949</v>
      </c>
      <c r="T3274" s="23" t="s">
        <v>4931</v>
      </c>
      <c r="U3274" s="3">
        <v>34</v>
      </c>
      <c r="W3274" s="45" t="str">
        <f>HYPERLINK("http://ictvonline.org/taxonomy/p/taxonomy-history?taxnode_id=201851141","ICTVonline=201851141")</f>
        <v>ICTVonline=201851141</v>
      </c>
      <c r="AA3274" s="1">
        <v>201850000</v>
      </c>
      <c r="AB3274" s="1">
        <v>34</v>
      </c>
    </row>
    <row r="3275" spans="1:28" x14ac:dyDescent="0.15">
      <c r="A3275" s="1">
        <v>8379</v>
      </c>
      <c r="J3275" s="1" t="s">
        <v>1332</v>
      </c>
      <c r="L3275" s="1" t="s">
        <v>901</v>
      </c>
      <c r="N3275" s="1" t="s">
        <v>6730</v>
      </c>
      <c r="P3275" s="1" t="s">
        <v>4442</v>
      </c>
      <c r="Q3275" s="3">
        <v>0</v>
      </c>
      <c r="S3275" s="23" t="s">
        <v>5949</v>
      </c>
      <c r="T3275" s="23" t="s">
        <v>4931</v>
      </c>
      <c r="U3275" s="3">
        <v>34</v>
      </c>
      <c r="W3275" s="45" t="str">
        <f>HYPERLINK("http://ictvonline.org/taxonomy/p/taxonomy-history?taxnode_id=201851142","ICTVonline=201851142")</f>
        <v>ICTVonline=201851142</v>
      </c>
      <c r="AA3275" s="1">
        <v>201850000</v>
      </c>
      <c r="AB3275" s="1">
        <v>34</v>
      </c>
    </row>
    <row r="3276" spans="1:28" x14ac:dyDescent="0.15">
      <c r="A3276" s="1">
        <v>8381</v>
      </c>
      <c r="J3276" s="1" t="s">
        <v>1332</v>
      </c>
      <c r="L3276" s="1" t="s">
        <v>901</v>
      </c>
      <c r="N3276" s="1" t="s">
        <v>6730</v>
      </c>
      <c r="P3276" s="1" t="s">
        <v>4443</v>
      </c>
      <c r="Q3276" s="3">
        <v>0</v>
      </c>
      <c r="S3276" s="23" t="s">
        <v>5949</v>
      </c>
      <c r="T3276" s="23" t="s">
        <v>4931</v>
      </c>
      <c r="U3276" s="3">
        <v>34</v>
      </c>
      <c r="W3276" s="45" t="str">
        <f>HYPERLINK("http://ictvonline.org/taxonomy/p/taxonomy-history?taxnode_id=201851143","ICTVonline=201851143")</f>
        <v>ICTVonline=201851143</v>
      </c>
      <c r="AA3276" s="1">
        <v>201850000</v>
      </c>
      <c r="AB3276" s="1">
        <v>34</v>
      </c>
    </row>
    <row r="3277" spans="1:28" x14ac:dyDescent="0.15">
      <c r="A3277" s="1">
        <v>8383</v>
      </c>
      <c r="J3277" s="1" t="s">
        <v>1332</v>
      </c>
      <c r="L3277" s="1" t="s">
        <v>901</v>
      </c>
      <c r="N3277" s="1" t="s">
        <v>6730</v>
      </c>
      <c r="P3277" s="1" t="s">
        <v>4444</v>
      </c>
      <c r="Q3277" s="3">
        <v>0</v>
      </c>
      <c r="S3277" s="23" t="s">
        <v>5949</v>
      </c>
      <c r="T3277" s="23" t="s">
        <v>4931</v>
      </c>
      <c r="U3277" s="3">
        <v>34</v>
      </c>
      <c r="W3277" s="45" t="str">
        <f>HYPERLINK("http://ictvonline.org/taxonomy/p/taxonomy-history?taxnode_id=201851144","ICTVonline=201851144")</f>
        <v>ICTVonline=201851144</v>
      </c>
      <c r="AA3277" s="1">
        <v>201850000</v>
      </c>
      <c r="AB3277" s="1">
        <v>34</v>
      </c>
    </row>
    <row r="3278" spans="1:28" x14ac:dyDescent="0.15">
      <c r="A3278" s="1">
        <v>8385</v>
      </c>
      <c r="J3278" s="1" t="s">
        <v>1332</v>
      </c>
      <c r="L3278" s="1" t="s">
        <v>901</v>
      </c>
      <c r="N3278" s="1" t="s">
        <v>6730</v>
      </c>
      <c r="P3278" s="1" t="s">
        <v>4445</v>
      </c>
      <c r="Q3278" s="3">
        <v>0</v>
      </c>
      <c r="S3278" s="23" t="s">
        <v>5949</v>
      </c>
      <c r="T3278" s="23" t="s">
        <v>4931</v>
      </c>
      <c r="U3278" s="3">
        <v>34</v>
      </c>
      <c r="W3278" s="45" t="str">
        <f>HYPERLINK("http://ictvonline.org/taxonomy/p/taxonomy-history?taxnode_id=201851145","ICTVonline=201851145")</f>
        <v>ICTVonline=201851145</v>
      </c>
      <c r="AA3278" s="1">
        <v>201850000</v>
      </c>
      <c r="AB3278" s="1">
        <v>34</v>
      </c>
    </row>
    <row r="3279" spans="1:28" x14ac:dyDescent="0.15">
      <c r="A3279" s="1">
        <v>8387</v>
      </c>
      <c r="J3279" s="1" t="s">
        <v>1332</v>
      </c>
      <c r="L3279" s="1" t="s">
        <v>901</v>
      </c>
      <c r="N3279" s="1" t="s">
        <v>6730</v>
      </c>
      <c r="P3279" s="1" t="s">
        <v>4446</v>
      </c>
      <c r="Q3279" s="3">
        <v>0</v>
      </c>
      <c r="S3279" s="23" t="s">
        <v>5949</v>
      </c>
      <c r="T3279" s="23" t="s">
        <v>4931</v>
      </c>
      <c r="U3279" s="3">
        <v>34</v>
      </c>
      <c r="W3279" s="45" t="str">
        <f>HYPERLINK("http://ictvonline.org/taxonomy/p/taxonomy-history?taxnode_id=201851146","ICTVonline=201851146")</f>
        <v>ICTVonline=201851146</v>
      </c>
      <c r="AA3279" s="1">
        <v>201850000</v>
      </c>
      <c r="AB3279" s="1">
        <v>34</v>
      </c>
    </row>
    <row r="3280" spans="1:28" x14ac:dyDescent="0.15">
      <c r="A3280" s="1">
        <v>8389</v>
      </c>
      <c r="J3280" s="1" t="s">
        <v>1332</v>
      </c>
      <c r="L3280" s="1" t="s">
        <v>901</v>
      </c>
      <c r="N3280" s="1" t="s">
        <v>6730</v>
      </c>
      <c r="P3280" s="1" t="s">
        <v>4447</v>
      </c>
      <c r="Q3280" s="3">
        <v>0</v>
      </c>
      <c r="S3280" s="23" t="s">
        <v>5949</v>
      </c>
      <c r="T3280" s="23" t="s">
        <v>4931</v>
      </c>
      <c r="U3280" s="3">
        <v>34</v>
      </c>
      <c r="W3280" s="45" t="str">
        <f>HYPERLINK("http://ictvonline.org/taxonomy/p/taxonomy-history?taxnode_id=201851147","ICTVonline=201851147")</f>
        <v>ICTVonline=201851147</v>
      </c>
      <c r="AA3280" s="1">
        <v>201850000</v>
      </c>
      <c r="AB3280" s="1">
        <v>34</v>
      </c>
    </row>
    <row r="3281" spans="1:28" x14ac:dyDescent="0.15">
      <c r="A3281" s="1">
        <v>8391</v>
      </c>
      <c r="J3281" s="1" t="s">
        <v>1332</v>
      </c>
      <c r="L3281" s="1" t="s">
        <v>901</v>
      </c>
      <c r="N3281" s="1" t="s">
        <v>6730</v>
      </c>
      <c r="P3281" s="1" t="s">
        <v>4448</v>
      </c>
      <c r="Q3281" s="3">
        <v>0</v>
      </c>
      <c r="S3281" s="23" t="s">
        <v>5949</v>
      </c>
      <c r="T3281" s="23" t="s">
        <v>4931</v>
      </c>
      <c r="U3281" s="3">
        <v>34</v>
      </c>
      <c r="W3281" s="45" t="str">
        <f>HYPERLINK("http://ictvonline.org/taxonomy/p/taxonomy-history?taxnode_id=201851148","ICTVonline=201851148")</f>
        <v>ICTVonline=201851148</v>
      </c>
      <c r="AA3281" s="1">
        <v>201850000</v>
      </c>
      <c r="AB3281" s="1">
        <v>34</v>
      </c>
    </row>
    <row r="3282" spans="1:28" x14ac:dyDescent="0.15">
      <c r="A3282" s="1">
        <v>8393</v>
      </c>
      <c r="J3282" s="1" t="s">
        <v>1332</v>
      </c>
      <c r="L3282" s="1" t="s">
        <v>901</v>
      </c>
      <c r="N3282" s="1" t="s">
        <v>6730</v>
      </c>
      <c r="P3282" s="1" t="s">
        <v>4449</v>
      </c>
      <c r="Q3282" s="3">
        <v>0</v>
      </c>
      <c r="S3282" s="23" t="s">
        <v>5949</v>
      </c>
      <c r="T3282" s="23" t="s">
        <v>4931</v>
      </c>
      <c r="U3282" s="3">
        <v>34</v>
      </c>
      <c r="W3282" s="45" t="str">
        <f>HYPERLINK("http://ictvonline.org/taxonomy/p/taxonomy-history?taxnode_id=201851149","ICTVonline=201851149")</f>
        <v>ICTVonline=201851149</v>
      </c>
      <c r="AA3282" s="1">
        <v>201850000</v>
      </c>
      <c r="AB3282" s="1">
        <v>34</v>
      </c>
    </row>
    <row r="3283" spans="1:28" x14ac:dyDescent="0.15">
      <c r="A3283" s="1">
        <v>8395</v>
      </c>
      <c r="J3283" s="1" t="s">
        <v>1332</v>
      </c>
      <c r="L3283" s="1" t="s">
        <v>901</v>
      </c>
      <c r="N3283" s="1" t="s">
        <v>6730</v>
      </c>
      <c r="P3283" s="1" t="s">
        <v>4450</v>
      </c>
      <c r="Q3283" s="3">
        <v>0</v>
      </c>
      <c r="S3283" s="23" t="s">
        <v>5949</v>
      </c>
      <c r="T3283" s="23" t="s">
        <v>4931</v>
      </c>
      <c r="U3283" s="3">
        <v>34</v>
      </c>
      <c r="W3283" s="45" t="str">
        <f>HYPERLINK("http://ictvonline.org/taxonomy/p/taxonomy-history?taxnode_id=201851150","ICTVonline=201851150")</f>
        <v>ICTVonline=201851150</v>
      </c>
      <c r="AA3283" s="1">
        <v>201850000</v>
      </c>
      <c r="AB3283" s="1">
        <v>34</v>
      </c>
    </row>
    <row r="3284" spans="1:28" x14ac:dyDescent="0.15">
      <c r="A3284" s="1">
        <v>8397</v>
      </c>
      <c r="J3284" s="1" t="s">
        <v>1332</v>
      </c>
      <c r="L3284" s="1" t="s">
        <v>901</v>
      </c>
      <c r="N3284" s="1" t="s">
        <v>6730</v>
      </c>
      <c r="P3284" s="1" t="s">
        <v>4451</v>
      </c>
      <c r="Q3284" s="3">
        <v>0</v>
      </c>
      <c r="S3284" s="23" t="s">
        <v>5949</v>
      </c>
      <c r="T3284" s="23" t="s">
        <v>4931</v>
      </c>
      <c r="U3284" s="3">
        <v>34</v>
      </c>
      <c r="W3284" s="45" t="str">
        <f>HYPERLINK("http://ictvonline.org/taxonomy/p/taxonomy-history?taxnode_id=201851151","ICTVonline=201851151")</f>
        <v>ICTVonline=201851151</v>
      </c>
      <c r="AA3284" s="1">
        <v>201850000</v>
      </c>
      <c r="AB3284" s="1">
        <v>34</v>
      </c>
    </row>
    <row r="3285" spans="1:28" x14ac:dyDescent="0.15">
      <c r="A3285" s="1">
        <v>8399</v>
      </c>
      <c r="J3285" s="1" t="s">
        <v>1332</v>
      </c>
      <c r="L3285" s="1" t="s">
        <v>901</v>
      </c>
      <c r="N3285" s="1" t="s">
        <v>6730</v>
      </c>
      <c r="P3285" s="1" t="s">
        <v>4452</v>
      </c>
      <c r="Q3285" s="3">
        <v>0</v>
      </c>
      <c r="S3285" s="23" t="s">
        <v>5949</v>
      </c>
      <c r="T3285" s="23" t="s">
        <v>4931</v>
      </c>
      <c r="U3285" s="3">
        <v>34</v>
      </c>
      <c r="W3285" s="45" t="str">
        <f>HYPERLINK("http://ictvonline.org/taxonomy/p/taxonomy-history?taxnode_id=201851152","ICTVonline=201851152")</f>
        <v>ICTVonline=201851152</v>
      </c>
      <c r="AA3285" s="1">
        <v>201850000</v>
      </c>
      <c r="AB3285" s="1">
        <v>34</v>
      </c>
    </row>
    <row r="3286" spans="1:28" x14ac:dyDescent="0.15">
      <c r="A3286" s="1">
        <v>8401</v>
      </c>
      <c r="J3286" s="1" t="s">
        <v>1332</v>
      </c>
      <c r="L3286" s="1" t="s">
        <v>901</v>
      </c>
      <c r="N3286" s="1" t="s">
        <v>6730</v>
      </c>
      <c r="P3286" s="1" t="s">
        <v>4453</v>
      </c>
      <c r="Q3286" s="3">
        <v>0</v>
      </c>
      <c r="S3286" s="23" t="s">
        <v>5949</v>
      </c>
      <c r="T3286" s="23" t="s">
        <v>4931</v>
      </c>
      <c r="U3286" s="3">
        <v>34</v>
      </c>
      <c r="W3286" s="45" t="str">
        <f>HYPERLINK("http://ictvonline.org/taxonomy/p/taxonomy-history?taxnode_id=201851153","ICTVonline=201851153")</f>
        <v>ICTVonline=201851153</v>
      </c>
      <c r="AA3286" s="1">
        <v>201850000</v>
      </c>
      <c r="AB3286" s="1">
        <v>34</v>
      </c>
    </row>
    <row r="3287" spans="1:28" x14ac:dyDescent="0.15">
      <c r="A3287" s="1">
        <v>8403</v>
      </c>
      <c r="J3287" s="1" t="s">
        <v>1332</v>
      </c>
      <c r="L3287" s="1" t="s">
        <v>901</v>
      </c>
      <c r="N3287" s="1" t="s">
        <v>6730</v>
      </c>
      <c r="P3287" s="1" t="s">
        <v>4454</v>
      </c>
      <c r="Q3287" s="3">
        <v>0</v>
      </c>
      <c r="S3287" s="23" t="s">
        <v>5949</v>
      </c>
      <c r="T3287" s="23" t="s">
        <v>4931</v>
      </c>
      <c r="U3287" s="3">
        <v>34</v>
      </c>
      <c r="W3287" s="45" t="str">
        <f>HYPERLINK("http://ictvonline.org/taxonomy/p/taxonomy-history?taxnode_id=201851154","ICTVonline=201851154")</f>
        <v>ICTVonline=201851154</v>
      </c>
      <c r="AA3287" s="1">
        <v>201850000</v>
      </c>
      <c r="AB3287" s="1">
        <v>34</v>
      </c>
    </row>
    <row r="3288" spans="1:28" x14ac:dyDescent="0.15">
      <c r="A3288" s="1">
        <v>8405</v>
      </c>
      <c r="J3288" s="1" t="s">
        <v>1332</v>
      </c>
      <c r="L3288" s="1" t="s">
        <v>901</v>
      </c>
      <c r="N3288" s="1" t="s">
        <v>6730</v>
      </c>
      <c r="P3288" s="1" t="s">
        <v>4455</v>
      </c>
      <c r="Q3288" s="3">
        <v>0</v>
      </c>
      <c r="S3288" s="23" t="s">
        <v>5949</v>
      </c>
      <c r="T3288" s="23" t="s">
        <v>4931</v>
      </c>
      <c r="U3288" s="3">
        <v>34</v>
      </c>
      <c r="W3288" s="45" t="str">
        <f>HYPERLINK("http://ictvonline.org/taxonomy/p/taxonomy-history?taxnode_id=201851155","ICTVonline=201851155")</f>
        <v>ICTVonline=201851155</v>
      </c>
      <c r="AA3288" s="1">
        <v>201850000</v>
      </c>
      <c r="AB3288" s="1">
        <v>34</v>
      </c>
    </row>
    <row r="3289" spans="1:28" x14ac:dyDescent="0.15">
      <c r="A3289" s="1">
        <v>8407</v>
      </c>
      <c r="J3289" s="1" t="s">
        <v>1332</v>
      </c>
      <c r="L3289" s="1" t="s">
        <v>901</v>
      </c>
      <c r="N3289" s="1" t="s">
        <v>6730</v>
      </c>
      <c r="P3289" s="1" t="s">
        <v>4456</v>
      </c>
      <c r="Q3289" s="3">
        <v>0</v>
      </c>
      <c r="S3289" s="23" t="s">
        <v>5949</v>
      </c>
      <c r="T3289" s="23" t="s">
        <v>4931</v>
      </c>
      <c r="U3289" s="3">
        <v>34</v>
      </c>
      <c r="W3289" s="45" t="str">
        <f>HYPERLINK("http://ictvonline.org/taxonomy/p/taxonomy-history?taxnode_id=201851156","ICTVonline=201851156")</f>
        <v>ICTVonline=201851156</v>
      </c>
      <c r="AA3289" s="1">
        <v>201850000</v>
      </c>
      <c r="AB3289" s="1">
        <v>34</v>
      </c>
    </row>
    <row r="3290" spans="1:28" x14ac:dyDescent="0.15">
      <c r="A3290" s="1">
        <v>8409</v>
      </c>
      <c r="J3290" s="1" t="s">
        <v>1332</v>
      </c>
      <c r="L3290" s="1" t="s">
        <v>901</v>
      </c>
      <c r="N3290" s="1" t="s">
        <v>6730</v>
      </c>
      <c r="P3290" s="1" t="s">
        <v>4457</v>
      </c>
      <c r="Q3290" s="3">
        <v>0</v>
      </c>
      <c r="S3290" s="23" t="s">
        <v>5949</v>
      </c>
      <c r="T3290" s="23" t="s">
        <v>4931</v>
      </c>
      <c r="U3290" s="3">
        <v>34</v>
      </c>
      <c r="W3290" s="45" t="str">
        <f>HYPERLINK("http://ictvonline.org/taxonomy/p/taxonomy-history?taxnode_id=201851157","ICTVonline=201851157")</f>
        <v>ICTVonline=201851157</v>
      </c>
      <c r="AA3290" s="1">
        <v>201850000</v>
      </c>
      <c r="AB3290" s="1">
        <v>34</v>
      </c>
    </row>
    <row r="3291" spans="1:28" x14ac:dyDescent="0.15">
      <c r="A3291" s="1">
        <v>8411</v>
      </c>
      <c r="J3291" s="1" t="s">
        <v>1332</v>
      </c>
      <c r="L3291" s="1" t="s">
        <v>901</v>
      </c>
      <c r="N3291" s="1" t="s">
        <v>6730</v>
      </c>
      <c r="P3291" s="1" t="s">
        <v>4458</v>
      </c>
      <c r="Q3291" s="3">
        <v>0</v>
      </c>
      <c r="S3291" s="23" t="s">
        <v>5949</v>
      </c>
      <c r="T3291" s="23" t="s">
        <v>4931</v>
      </c>
      <c r="U3291" s="3">
        <v>34</v>
      </c>
      <c r="W3291" s="45" t="str">
        <f>HYPERLINK("http://ictvonline.org/taxonomy/p/taxonomy-history?taxnode_id=201851158","ICTVonline=201851158")</f>
        <v>ICTVonline=201851158</v>
      </c>
      <c r="AA3291" s="1">
        <v>201850000</v>
      </c>
      <c r="AB3291" s="1">
        <v>34</v>
      </c>
    </row>
    <row r="3292" spans="1:28" x14ac:dyDescent="0.15">
      <c r="A3292" s="1">
        <v>8413</v>
      </c>
      <c r="J3292" s="1" t="s">
        <v>1332</v>
      </c>
      <c r="L3292" s="1" t="s">
        <v>901</v>
      </c>
      <c r="N3292" s="1" t="s">
        <v>6730</v>
      </c>
      <c r="P3292" s="1" t="s">
        <v>4459</v>
      </c>
      <c r="Q3292" s="3">
        <v>0</v>
      </c>
      <c r="S3292" s="23" t="s">
        <v>5949</v>
      </c>
      <c r="T3292" s="23" t="s">
        <v>4931</v>
      </c>
      <c r="U3292" s="3">
        <v>34</v>
      </c>
      <c r="W3292" s="45" t="str">
        <f>HYPERLINK("http://ictvonline.org/taxonomy/p/taxonomy-history?taxnode_id=201851159","ICTVonline=201851159")</f>
        <v>ICTVonline=201851159</v>
      </c>
      <c r="AA3292" s="1">
        <v>201850000</v>
      </c>
      <c r="AB3292" s="1">
        <v>34</v>
      </c>
    </row>
    <row r="3293" spans="1:28" x14ac:dyDescent="0.15">
      <c r="A3293" s="1">
        <v>8415</v>
      </c>
      <c r="J3293" s="1" t="s">
        <v>1332</v>
      </c>
      <c r="L3293" s="1" t="s">
        <v>901</v>
      </c>
      <c r="N3293" s="1" t="s">
        <v>6730</v>
      </c>
      <c r="P3293" s="1" t="s">
        <v>4460</v>
      </c>
      <c r="Q3293" s="3">
        <v>0</v>
      </c>
      <c r="S3293" s="23" t="s">
        <v>5949</v>
      </c>
      <c r="T3293" s="23" t="s">
        <v>4931</v>
      </c>
      <c r="U3293" s="3">
        <v>34</v>
      </c>
      <c r="W3293" s="45" t="str">
        <f>HYPERLINK("http://ictvonline.org/taxonomy/p/taxonomy-history?taxnode_id=201851160","ICTVonline=201851160")</f>
        <v>ICTVonline=201851160</v>
      </c>
      <c r="AA3293" s="1">
        <v>201850000</v>
      </c>
      <c r="AB3293" s="1">
        <v>34</v>
      </c>
    </row>
    <row r="3294" spans="1:28" x14ac:dyDescent="0.15">
      <c r="A3294" s="1">
        <v>8417</v>
      </c>
      <c r="J3294" s="1" t="s">
        <v>1332</v>
      </c>
      <c r="L3294" s="1" t="s">
        <v>901</v>
      </c>
      <c r="N3294" s="1" t="s">
        <v>6730</v>
      </c>
      <c r="P3294" s="1" t="s">
        <v>4461</v>
      </c>
      <c r="Q3294" s="3">
        <v>0</v>
      </c>
      <c r="S3294" s="23" t="s">
        <v>5949</v>
      </c>
      <c r="T3294" s="23" t="s">
        <v>4931</v>
      </c>
      <c r="U3294" s="3">
        <v>34</v>
      </c>
      <c r="W3294" s="45" t="str">
        <f>HYPERLINK("http://ictvonline.org/taxonomy/p/taxonomy-history?taxnode_id=201851161","ICTVonline=201851161")</f>
        <v>ICTVonline=201851161</v>
      </c>
      <c r="AA3294" s="1">
        <v>201850000</v>
      </c>
      <c r="AB3294" s="1">
        <v>34</v>
      </c>
    </row>
    <row r="3295" spans="1:28" x14ac:dyDescent="0.15">
      <c r="A3295" s="1">
        <v>8419</v>
      </c>
      <c r="J3295" s="1" t="s">
        <v>1332</v>
      </c>
      <c r="L3295" s="1" t="s">
        <v>901</v>
      </c>
      <c r="N3295" s="1" t="s">
        <v>6730</v>
      </c>
      <c r="P3295" s="1" t="s">
        <v>4462</v>
      </c>
      <c r="Q3295" s="3">
        <v>0</v>
      </c>
      <c r="S3295" s="23" t="s">
        <v>5949</v>
      </c>
      <c r="T3295" s="23" t="s">
        <v>4931</v>
      </c>
      <c r="U3295" s="3">
        <v>34</v>
      </c>
      <c r="W3295" s="45" t="str">
        <f>HYPERLINK("http://ictvonline.org/taxonomy/p/taxonomy-history?taxnode_id=201851162","ICTVonline=201851162")</f>
        <v>ICTVonline=201851162</v>
      </c>
      <c r="AA3295" s="1">
        <v>201850000</v>
      </c>
      <c r="AB3295" s="1">
        <v>34</v>
      </c>
    </row>
    <row r="3296" spans="1:28" x14ac:dyDescent="0.15">
      <c r="A3296" s="1">
        <v>8421</v>
      </c>
      <c r="J3296" s="1" t="s">
        <v>1332</v>
      </c>
      <c r="L3296" s="1" t="s">
        <v>901</v>
      </c>
      <c r="N3296" s="1" t="s">
        <v>6730</v>
      </c>
      <c r="P3296" s="1" t="s">
        <v>4463</v>
      </c>
      <c r="Q3296" s="3">
        <v>0</v>
      </c>
      <c r="S3296" s="23" t="s">
        <v>5949</v>
      </c>
      <c r="T3296" s="23" t="s">
        <v>4931</v>
      </c>
      <c r="U3296" s="3">
        <v>34</v>
      </c>
      <c r="W3296" s="45" t="str">
        <f>HYPERLINK("http://ictvonline.org/taxonomy/p/taxonomy-history?taxnode_id=201851163","ICTVonline=201851163")</f>
        <v>ICTVonline=201851163</v>
      </c>
      <c r="AA3296" s="1">
        <v>201850000</v>
      </c>
      <c r="AB3296" s="1">
        <v>34</v>
      </c>
    </row>
    <row r="3297" spans="1:28" x14ac:dyDescent="0.15">
      <c r="A3297" s="1">
        <v>8423</v>
      </c>
      <c r="J3297" s="1" t="s">
        <v>1332</v>
      </c>
      <c r="L3297" s="1" t="s">
        <v>901</v>
      </c>
      <c r="N3297" s="1" t="s">
        <v>6730</v>
      </c>
      <c r="P3297" s="1" t="s">
        <v>4464</v>
      </c>
      <c r="Q3297" s="3">
        <v>0</v>
      </c>
      <c r="S3297" s="23" t="s">
        <v>5949</v>
      </c>
      <c r="T3297" s="23" t="s">
        <v>4931</v>
      </c>
      <c r="U3297" s="3">
        <v>34</v>
      </c>
      <c r="W3297" s="45" t="str">
        <f>HYPERLINK("http://ictvonline.org/taxonomy/p/taxonomy-history?taxnode_id=201851164","ICTVonline=201851164")</f>
        <v>ICTVonline=201851164</v>
      </c>
      <c r="AA3297" s="1">
        <v>201850000</v>
      </c>
      <c r="AB3297" s="1">
        <v>34</v>
      </c>
    </row>
    <row r="3298" spans="1:28" x14ac:dyDescent="0.15">
      <c r="A3298" s="1">
        <v>8425</v>
      </c>
      <c r="J3298" s="1" t="s">
        <v>1332</v>
      </c>
      <c r="L3298" s="1" t="s">
        <v>901</v>
      </c>
      <c r="N3298" s="1" t="s">
        <v>6730</v>
      </c>
      <c r="P3298" s="1" t="s">
        <v>4465</v>
      </c>
      <c r="Q3298" s="3">
        <v>0</v>
      </c>
      <c r="S3298" s="23" t="s">
        <v>5949</v>
      </c>
      <c r="T3298" s="23" t="s">
        <v>4931</v>
      </c>
      <c r="U3298" s="3">
        <v>34</v>
      </c>
      <c r="W3298" s="45" t="str">
        <f>HYPERLINK("http://ictvonline.org/taxonomy/p/taxonomy-history?taxnode_id=201851165","ICTVonline=201851165")</f>
        <v>ICTVonline=201851165</v>
      </c>
      <c r="AA3298" s="1">
        <v>201850000</v>
      </c>
      <c r="AB3298" s="1">
        <v>34</v>
      </c>
    </row>
    <row r="3299" spans="1:28" x14ac:dyDescent="0.15">
      <c r="A3299" s="1">
        <v>8427</v>
      </c>
      <c r="J3299" s="1" t="s">
        <v>1332</v>
      </c>
      <c r="L3299" s="1" t="s">
        <v>901</v>
      </c>
      <c r="N3299" s="1" t="s">
        <v>6730</v>
      </c>
      <c r="P3299" s="1" t="s">
        <v>4466</v>
      </c>
      <c r="Q3299" s="3">
        <v>0</v>
      </c>
      <c r="S3299" s="23" t="s">
        <v>5949</v>
      </c>
      <c r="T3299" s="23" t="s">
        <v>4931</v>
      </c>
      <c r="U3299" s="3">
        <v>34</v>
      </c>
      <c r="W3299" s="45" t="str">
        <f>HYPERLINK("http://ictvonline.org/taxonomy/p/taxonomy-history?taxnode_id=201851166","ICTVonline=201851166")</f>
        <v>ICTVonline=201851166</v>
      </c>
      <c r="AA3299" s="1">
        <v>201850000</v>
      </c>
      <c r="AB3299" s="1">
        <v>34</v>
      </c>
    </row>
    <row r="3300" spans="1:28" x14ac:dyDescent="0.15">
      <c r="A3300" s="1">
        <v>8429</v>
      </c>
      <c r="J3300" s="1" t="s">
        <v>1332</v>
      </c>
      <c r="L3300" s="1" t="s">
        <v>901</v>
      </c>
      <c r="N3300" s="1" t="s">
        <v>6730</v>
      </c>
      <c r="P3300" s="1" t="s">
        <v>4467</v>
      </c>
      <c r="Q3300" s="3">
        <v>0</v>
      </c>
      <c r="S3300" s="23" t="s">
        <v>5949</v>
      </c>
      <c r="T3300" s="23" t="s">
        <v>4931</v>
      </c>
      <c r="U3300" s="3">
        <v>34</v>
      </c>
      <c r="W3300" s="45" t="str">
        <f>HYPERLINK("http://ictvonline.org/taxonomy/p/taxonomy-history?taxnode_id=201851167","ICTVonline=201851167")</f>
        <v>ICTVonline=201851167</v>
      </c>
      <c r="AA3300" s="1">
        <v>201850000</v>
      </c>
      <c r="AB3300" s="1">
        <v>34</v>
      </c>
    </row>
    <row r="3301" spans="1:28" x14ac:dyDescent="0.15">
      <c r="A3301" s="1">
        <v>8431</v>
      </c>
      <c r="J3301" s="1" t="s">
        <v>1332</v>
      </c>
      <c r="L3301" s="1" t="s">
        <v>901</v>
      </c>
      <c r="N3301" s="1" t="s">
        <v>6730</v>
      </c>
      <c r="P3301" s="1" t="s">
        <v>4468</v>
      </c>
      <c r="Q3301" s="3">
        <v>0</v>
      </c>
      <c r="S3301" s="23" t="s">
        <v>5949</v>
      </c>
      <c r="T3301" s="23" t="s">
        <v>4931</v>
      </c>
      <c r="U3301" s="3">
        <v>34</v>
      </c>
      <c r="W3301" s="45" t="str">
        <f>HYPERLINK("http://ictvonline.org/taxonomy/p/taxonomy-history?taxnode_id=201851168","ICTVonline=201851168")</f>
        <v>ICTVonline=201851168</v>
      </c>
      <c r="AA3301" s="1">
        <v>201850000</v>
      </c>
      <c r="AB3301" s="1">
        <v>34</v>
      </c>
    </row>
    <row r="3302" spans="1:28" x14ac:dyDescent="0.15">
      <c r="A3302" s="1">
        <v>8433</v>
      </c>
      <c r="J3302" s="1" t="s">
        <v>1332</v>
      </c>
      <c r="L3302" s="1" t="s">
        <v>901</v>
      </c>
      <c r="N3302" s="1" t="s">
        <v>6730</v>
      </c>
      <c r="P3302" s="1" t="s">
        <v>4469</v>
      </c>
      <c r="Q3302" s="3">
        <v>0</v>
      </c>
      <c r="S3302" s="23" t="s">
        <v>5949</v>
      </c>
      <c r="T3302" s="23" t="s">
        <v>4931</v>
      </c>
      <c r="U3302" s="3">
        <v>34</v>
      </c>
      <c r="W3302" s="45" t="str">
        <f>HYPERLINK("http://ictvonline.org/taxonomy/p/taxonomy-history?taxnode_id=201851169","ICTVonline=201851169")</f>
        <v>ICTVonline=201851169</v>
      </c>
      <c r="AA3302" s="1">
        <v>201850000</v>
      </c>
      <c r="AB3302" s="1">
        <v>34</v>
      </c>
    </row>
    <row r="3303" spans="1:28" x14ac:dyDescent="0.15">
      <c r="A3303" s="1">
        <v>8435</v>
      </c>
      <c r="J3303" s="1" t="s">
        <v>1332</v>
      </c>
      <c r="L3303" s="1" t="s">
        <v>901</v>
      </c>
      <c r="N3303" s="1" t="s">
        <v>6730</v>
      </c>
      <c r="P3303" s="1" t="s">
        <v>4470</v>
      </c>
      <c r="Q3303" s="3">
        <v>0</v>
      </c>
      <c r="S3303" s="23" t="s">
        <v>5949</v>
      </c>
      <c r="T3303" s="23" t="s">
        <v>4931</v>
      </c>
      <c r="U3303" s="3">
        <v>34</v>
      </c>
      <c r="W3303" s="45" t="str">
        <f>HYPERLINK("http://ictvonline.org/taxonomy/p/taxonomy-history?taxnode_id=201851170","ICTVonline=201851170")</f>
        <v>ICTVonline=201851170</v>
      </c>
      <c r="AA3303" s="1">
        <v>201850000</v>
      </c>
      <c r="AB3303" s="1">
        <v>34</v>
      </c>
    </row>
    <row r="3304" spans="1:28" x14ac:dyDescent="0.15">
      <c r="A3304" s="1">
        <v>8437</v>
      </c>
      <c r="J3304" s="1" t="s">
        <v>1332</v>
      </c>
      <c r="L3304" s="1" t="s">
        <v>901</v>
      </c>
      <c r="N3304" s="1" t="s">
        <v>6730</v>
      </c>
      <c r="P3304" s="1" t="s">
        <v>4471</v>
      </c>
      <c r="Q3304" s="3">
        <v>0</v>
      </c>
      <c r="S3304" s="23" t="s">
        <v>5949</v>
      </c>
      <c r="T3304" s="23" t="s">
        <v>4931</v>
      </c>
      <c r="U3304" s="3">
        <v>34</v>
      </c>
      <c r="W3304" s="45" t="str">
        <f>HYPERLINK("http://ictvonline.org/taxonomy/p/taxonomy-history?taxnode_id=201851171","ICTVonline=201851171")</f>
        <v>ICTVonline=201851171</v>
      </c>
      <c r="AA3304" s="1">
        <v>201850000</v>
      </c>
      <c r="AB3304" s="1">
        <v>34</v>
      </c>
    </row>
    <row r="3305" spans="1:28" x14ac:dyDescent="0.15">
      <c r="A3305" s="1">
        <v>8439</v>
      </c>
      <c r="J3305" s="1" t="s">
        <v>1332</v>
      </c>
      <c r="L3305" s="1" t="s">
        <v>901</v>
      </c>
      <c r="N3305" s="1" t="s">
        <v>6730</v>
      </c>
      <c r="P3305" s="1" t="s">
        <v>4472</v>
      </c>
      <c r="Q3305" s="3">
        <v>0</v>
      </c>
      <c r="S3305" s="23" t="s">
        <v>5949</v>
      </c>
      <c r="T3305" s="23" t="s">
        <v>4931</v>
      </c>
      <c r="U3305" s="3">
        <v>34</v>
      </c>
      <c r="W3305" s="45" t="str">
        <f>HYPERLINK("http://ictvonline.org/taxonomy/p/taxonomy-history?taxnode_id=201851172","ICTVonline=201851172")</f>
        <v>ICTVonline=201851172</v>
      </c>
      <c r="AA3305" s="1">
        <v>201850000</v>
      </c>
      <c r="AB3305" s="1">
        <v>34</v>
      </c>
    </row>
    <row r="3306" spans="1:28" x14ac:dyDescent="0.15">
      <c r="A3306" s="1">
        <v>8441</v>
      </c>
      <c r="J3306" s="1" t="s">
        <v>1332</v>
      </c>
      <c r="L3306" s="1" t="s">
        <v>901</v>
      </c>
      <c r="N3306" s="1" t="s">
        <v>6730</v>
      </c>
      <c r="P3306" s="1" t="s">
        <v>4473</v>
      </c>
      <c r="Q3306" s="3">
        <v>0</v>
      </c>
      <c r="S3306" s="23" t="s">
        <v>5949</v>
      </c>
      <c r="T3306" s="23" t="s">
        <v>4931</v>
      </c>
      <c r="U3306" s="3">
        <v>34</v>
      </c>
      <c r="W3306" s="45" t="str">
        <f>HYPERLINK("http://ictvonline.org/taxonomy/p/taxonomy-history?taxnode_id=201851173","ICTVonline=201851173")</f>
        <v>ICTVonline=201851173</v>
      </c>
      <c r="AA3306" s="1">
        <v>201850000</v>
      </c>
      <c r="AB3306" s="1">
        <v>34</v>
      </c>
    </row>
    <row r="3307" spans="1:28" x14ac:dyDescent="0.15">
      <c r="A3307" s="1">
        <v>8445</v>
      </c>
      <c r="J3307" s="1" t="s">
        <v>1332</v>
      </c>
      <c r="L3307" s="1" t="s">
        <v>901</v>
      </c>
      <c r="N3307" s="1" t="s">
        <v>6731</v>
      </c>
      <c r="P3307" s="1" t="s">
        <v>4474</v>
      </c>
      <c r="Q3307" s="3">
        <v>0</v>
      </c>
      <c r="S3307" s="23" t="s">
        <v>5949</v>
      </c>
      <c r="T3307" s="23" t="s">
        <v>4931</v>
      </c>
      <c r="U3307" s="3">
        <v>34</v>
      </c>
      <c r="W3307" s="45" t="str">
        <f>HYPERLINK("http://ictvonline.org/taxonomy/p/taxonomy-history?taxnode_id=201851175","ICTVonline=201851175")</f>
        <v>ICTVonline=201851175</v>
      </c>
      <c r="AA3307" s="1">
        <v>201850000</v>
      </c>
      <c r="AB3307" s="1">
        <v>34</v>
      </c>
    </row>
    <row r="3308" spans="1:28" x14ac:dyDescent="0.15">
      <c r="A3308" s="1">
        <v>8447</v>
      </c>
      <c r="J3308" s="1" t="s">
        <v>1332</v>
      </c>
      <c r="L3308" s="1" t="s">
        <v>901</v>
      </c>
      <c r="N3308" s="1" t="s">
        <v>6731</v>
      </c>
      <c r="P3308" s="1" t="s">
        <v>4475</v>
      </c>
      <c r="Q3308" s="3">
        <v>1</v>
      </c>
      <c r="S3308" s="23" t="s">
        <v>5949</v>
      </c>
      <c r="T3308" s="23" t="s">
        <v>4931</v>
      </c>
      <c r="U3308" s="3">
        <v>34</v>
      </c>
      <c r="W3308" s="45" t="str">
        <f>HYPERLINK("http://ictvonline.org/taxonomy/p/taxonomy-history?taxnode_id=201851176","ICTVonline=201851176")</f>
        <v>ICTVonline=201851176</v>
      </c>
      <c r="AA3308" s="1">
        <v>201850000</v>
      </c>
      <c r="AB3308" s="1">
        <v>34</v>
      </c>
    </row>
    <row r="3309" spans="1:28" x14ac:dyDescent="0.15">
      <c r="A3309" s="1">
        <v>8451</v>
      </c>
      <c r="J3309" s="1" t="s">
        <v>1332</v>
      </c>
      <c r="L3309" s="1" t="s">
        <v>901</v>
      </c>
      <c r="N3309" s="1" t="s">
        <v>6732</v>
      </c>
      <c r="P3309" s="1" t="s">
        <v>4481</v>
      </c>
      <c r="Q3309" s="3">
        <v>0</v>
      </c>
      <c r="S3309" s="23" t="s">
        <v>5949</v>
      </c>
      <c r="T3309" s="23" t="s">
        <v>4931</v>
      </c>
      <c r="U3309" s="3">
        <v>34</v>
      </c>
      <c r="W3309" s="45" t="str">
        <f>HYPERLINK("http://ictvonline.org/taxonomy/p/taxonomy-history?taxnode_id=201851253","ICTVonline=201851253")</f>
        <v>ICTVonline=201851253</v>
      </c>
      <c r="AA3309" s="1">
        <v>201850000</v>
      </c>
      <c r="AB3309" s="1">
        <v>34</v>
      </c>
    </row>
    <row r="3310" spans="1:28" x14ac:dyDescent="0.15">
      <c r="A3310" s="1">
        <v>8453</v>
      </c>
      <c r="J3310" s="1" t="s">
        <v>1332</v>
      </c>
      <c r="L3310" s="1" t="s">
        <v>901</v>
      </c>
      <c r="N3310" s="1" t="s">
        <v>6732</v>
      </c>
      <c r="P3310" s="1" t="s">
        <v>4482</v>
      </c>
      <c r="Q3310" s="3">
        <v>1</v>
      </c>
      <c r="S3310" s="23" t="s">
        <v>5949</v>
      </c>
      <c r="T3310" s="23" t="s">
        <v>4931</v>
      </c>
      <c r="U3310" s="3">
        <v>34</v>
      </c>
      <c r="W3310" s="45" t="str">
        <f>HYPERLINK("http://ictvonline.org/taxonomy/p/taxonomy-history?taxnode_id=201851254","ICTVonline=201851254")</f>
        <v>ICTVonline=201851254</v>
      </c>
      <c r="AA3310" s="1">
        <v>201850000</v>
      </c>
      <c r="AB3310" s="1">
        <v>34</v>
      </c>
    </row>
    <row r="3311" spans="1:28" x14ac:dyDescent="0.15">
      <c r="A3311" s="1">
        <v>8457</v>
      </c>
      <c r="J3311" s="1" t="s">
        <v>1332</v>
      </c>
      <c r="L3311" s="1" t="s">
        <v>901</v>
      </c>
      <c r="N3311" s="1" t="s">
        <v>4128</v>
      </c>
      <c r="P3311" s="1" t="s">
        <v>3110</v>
      </c>
      <c r="Q3311" s="3">
        <v>1</v>
      </c>
      <c r="S3311" s="23" t="s">
        <v>5949</v>
      </c>
      <c r="W3311" s="45" t="str">
        <f>HYPERLINK("http://ictvonline.org/taxonomy/p/taxonomy-history?taxnode_id=201851178","ICTVonline=201851178")</f>
        <v>ICTVonline=201851178</v>
      </c>
      <c r="AA3311" s="1">
        <v>201850000</v>
      </c>
      <c r="AB3311" s="1">
        <v>34</v>
      </c>
    </row>
    <row r="3312" spans="1:28" x14ac:dyDescent="0.15">
      <c r="A3312" s="1">
        <v>8461</v>
      </c>
      <c r="J3312" s="1" t="s">
        <v>1332</v>
      </c>
      <c r="L3312" s="1" t="s">
        <v>901</v>
      </c>
      <c r="N3312" s="1" t="s">
        <v>3293</v>
      </c>
      <c r="P3312" s="1" t="s">
        <v>3294</v>
      </c>
      <c r="Q3312" s="3">
        <v>1</v>
      </c>
      <c r="S3312" s="23" t="s">
        <v>5949</v>
      </c>
      <c r="W3312" s="45" t="str">
        <f>HYPERLINK("http://ictvonline.org/taxonomy/p/taxonomy-history?taxnode_id=201851180","ICTVonline=201851180")</f>
        <v>ICTVonline=201851180</v>
      </c>
      <c r="AA3312" s="1">
        <v>201850000</v>
      </c>
      <c r="AB3312" s="1">
        <v>34</v>
      </c>
    </row>
    <row r="3313" spans="1:28" x14ac:dyDescent="0.15">
      <c r="A3313" s="1">
        <v>8465</v>
      </c>
      <c r="J3313" s="1" t="s">
        <v>1332</v>
      </c>
      <c r="L3313" s="1" t="s">
        <v>901</v>
      </c>
      <c r="N3313" s="1" t="s">
        <v>6733</v>
      </c>
      <c r="P3313" s="1" t="s">
        <v>4476</v>
      </c>
      <c r="Q3313" s="3">
        <v>1</v>
      </c>
      <c r="S3313" s="23" t="s">
        <v>5949</v>
      </c>
      <c r="T3313" s="23" t="s">
        <v>4931</v>
      </c>
      <c r="U3313" s="3">
        <v>34</v>
      </c>
      <c r="W3313" s="45" t="str">
        <f>HYPERLINK("http://ictvonline.org/taxonomy/p/taxonomy-history?taxnode_id=201851182","ICTVonline=201851182")</f>
        <v>ICTVonline=201851182</v>
      </c>
      <c r="AA3313" s="1">
        <v>201850000</v>
      </c>
      <c r="AB3313" s="1">
        <v>34</v>
      </c>
    </row>
    <row r="3314" spans="1:28" x14ac:dyDescent="0.15">
      <c r="A3314" s="1">
        <v>8467</v>
      </c>
      <c r="J3314" s="1" t="s">
        <v>1332</v>
      </c>
      <c r="L3314" s="1" t="s">
        <v>901</v>
      </c>
      <c r="N3314" s="1" t="s">
        <v>6733</v>
      </c>
      <c r="P3314" s="1" t="s">
        <v>4477</v>
      </c>
      <c r="Q3314" s="3">
        <v>0</v>
      </c>
      <c r="S3314" s="23" t="s">
        <v>5949</v>
      </c>
      <c r="T3314" s="23" t="s">
        <v>4931</v>
      </c>
      <c r="U3314" s="3">
        <v>34</v>
      </c>
      <c r="W3314" s="45" t="str">
        <f>HYPERLINK("http://ictvonline.org/taxonomy/p/taxonomy-history?taxnode_id=201851183","ICTVonline=201851183")</f>
        <v>ICTVonline=201851183</v>
      </c>
      <c r="AA3314" s="1">
        <v>201850000</v>
      </c>
      <c r="AB3314" s="1">
        <v>34</v>
      </c>
    </row>
    <row r="3315" spans="1:28" x14ac:dyDescent="0.15">
      <c r="A3315" s="1">
        <v>8471</v>
      </c>
      <c r="J3315" s="1" t="s">
        <v>1332</v>
      </c>
      <c r="L3315" s="1" t="s">
        <v>901</v>
      </c>
      <c r="N3315" s="1" t="s">
        <v>3310</v>
      </c>
      <c r="P3315" s="1" t="s">
        <v>3311</v>
      </c>
      <c r="Q3315" s="3">
        <v>0</v>
      </c>
      <c r="S3315" s="23" t="s">
        <v>5949</v>
      </c>
      <c r="W3315" s="45" t="str">
        <f>HYPERLINK("http://ictvonline.org/taxonomy/p/taxonomy-history?taxnode_id=201851189","ICTVonline=201851189")</f>
        <v>ICTVonline=201851189</v>
      </c>
      <c r="AA3315" s="1">
        <v>201850000</v>
      </c>
      <c r="AB3315" s="1">
        <v>34</v>
      </c>
    </row>
    <row r="3316" spans="1:28" x14ac:dyDescent="0.15">
      <c r="A3316" s="1">
        <v>8473</v>
      </c>
      <c r="J3316" s="1" t="s">
        <v>1332</v>
      </c>
      <c r="L3316" s="1" t="s">
        <v>901</v>
      </c>
      <c r="N3316" s="1" t="s">
        <v>3310</v>
      </c>
      <c r="P3316" s="1" t="s">
        <v>3312</v>
      </c>
      <c r="Q3316" s="3">
        <v>0</v>
      </c>
      <c r="S3316" s="23" t="s">
        <v>5949</v>
      </c>
      <c r="W3316" s="45" t="str">
        <f>HYPERLINK("http://ictvonline.org/taxonomy/p/taxonomy-history?taxnode_id=201851190","ICTVonline=201851190")</f>
        <v>ICTVonline=201851190</v>
      </c>
      <c r="AA3316" s="1">
        <v>201850000</v>
      </c>
      <c r="AB3316" s="1">
        <v>34</v>
      </c>
    </row>
    <row r="3317" spans="1:28" x14ac:dyDescent="0.15">
      <c r="A3317" s="1">
        <v>8475</v>
      </c>
      <c r="J3317" s="1" t="s">
        <v>1332</v>
      </c>
      <c r="L3317" s="1" t="s">
        <v>901</v>
      </c>
      <c r="N3317" s="1" t="s">
        <v>3310</v>
      </c>
      <c r="P3317" s="1" t="s">
        <v>3313</v>
      </c>
      <c r="Q3317" s="3">
        <v>1</v>
      </c>
      <c r="S3317" s="23" t="s">
        <v>5949</v>
      </c>
      <c r="W3317" s="45" t="str">
        <f>HYPERLINK("http://ictvonline.org/taxonomy/p/taxonomy-history?taxnode_id=201851191","ICTVonline=201851191")</f>
        <v>ICTVonline=201851191</v>
      </c>
      <c r="AA3317" s="1">
        <v>201850000</v>
      </c>
      <c r="AB3317" s="1">
        <v>34</v>
      </c>
    </row>
    <row r="3318" spans="1:28" x14ac:dyDescent="0.15">
      <c r="A3318" s="1">
        <v>8477</v>
      </c>
      <c r="J3318" s="1" t="s">
        <v>1332</v>
      </c>
      <c r="L3318" s="1" t="s">
        <v>901</v>
      </c>
      <c r="N3318" s="1" t="s">
        <v>3310</v>
      </c>
      <c r="P3318" s="1" t="s">
        <v>3314</v>
      </c>
      <c r="Q3318" s="3">
        <v>0</v>
      </c>
      <c r="S3318" s="23" t="s">
        <v>5949</v>
      </c>
      <c r="W3318" s="45" t="str">
        <f>HYPERLINK("http://ictvonline.org/taxonomy/p/taxonomy-history?taxnode_id=201851192","ICTVonline=201851192")</f>
        <v>ICTVonline=201851192</v>
      </c>
      <c r="AA3318" s="1">
        <v>201850000</v>
      </c>
      <c r="AB3318" s="1">
        <v>34</v>
      </c>
    </row>
    <row r="3319" spans="1:28" x14ac:dyDescent="0.15">
      <c r="A3319" s="1">
        <v>8479</v>
      </c>
      <c r="J3319" s="1" t="s">
        <v>1332</v>
      </c>
      <c r="L3319" s="1" t="s">
        <v>901</v>
      </c>
      <c r="N3319" s="1" t="s">
        <v>3310</v>
      </c>
      <c r="P3319" s="1" t="s">
        <v>3315</v>
      </c>
      <c r="Q3319" s="3">
        <v>0</v>
      </c>
      <c r="S3319" s="23" t="s">
        <v>5949</v>
      </c>
      <c r="W3319" s="45" t="str">
        <f>HYPERLINK("http://ictvonline.org/taxonomy/p/taxonomy-history?taxnode_id=201851193","ICTVonline=201851193")</f>
        <v>ICTVonline=201851193</v>
      </c>
      <c r="AA3319" s="1">
        <v>201850000</v>
      </c>
      <c r="AB3319" s="1">
        <v>34</v>
      </c>
    </row>
    <row r="3320" spans="1:28" x14ac:dyDescent="0.15">
      <c r="A3320" s="1">
        <v>8483</v>
      </c>
      <c r="J3320" s="1" t="s">
        <v>1332</v>
      </c>
      <c r="L3320" s="1" t="s">
        <v>901</v>
      </c>
      <c r="N3320" s="1" t="s">
        <v>3316</v>
      </c>
      <c r="P3320" s="1" t="s">
        <v>3317</v>
      </c>
      <c r="Q3320" s="3">
        <v>0</v>
      </c>
      <c r="S3320" s="23" t="s">
        <v>5949</v>
      </c>
      <c r="W3320" s="45" t="str">
        <f>HYPERLINK("http://ictvonline.org/taxonomy/p/taxonomy-history?taxnode_id=201851195","ICTVonline=201851195")</f>
        <v>ICTVonline=201851195</v>
      </c>
      <c r="AA3320" s="1">
        <v>201850000</v>
      </c>
      <c r="AB3320" s="1">
        <v>34</v>
      </c>
    </row>
    <row r="3321" spans="1:28" x14ac:dyDescent="0.15">
      <c r="A3321" s="1">
        <v>8485</v>
      </c>
      <c r="J3321" s="1" t="s">
        <v>1332</v>
      </c>
      <c r="L3321" s="1" t="s">
        <v>901</v>
      </c>
      <c r="N3321" s="1" t="s">
        <v>3316</v>
      </c>
      <c r="P3321" s="1" t="s">
        <v>3318</v>
      </c>
      <c r="Q3321" s="3">
        <v>0</v>
      </c>
      <c r="S3321" s="23" t="s">
        <v>5949</v>
      </c>
      <c r="W3321" s="45" t="str">
        <f>HYPERLINK("http://ictvonline.org/taxonomy/p/taxonomy-history?taxnode_id=201851196","ICTVonline=201851196")</f>
        <v>ICTVonline=201851196</v>
      </c>
      <c r="AA3321" s="1">
        <v>201850000</v>
      </c>
      <c r="AB3321" s="1">
        <v>34</v>
      </c>
    </row>
    <row r="3322" spans="1:28" x14ac:dyDescent="0.15">
      <c r="A3322" s="1">
        <v>8487</v>
      </c>
      <c r="J3322" s="1" t="s">
        <v>1332</v>
      </c>
      <c r="L3322" s="1" t="s">
        <v>901</v>
      </c>
      <c r="N3322" s="1" t="s">
        <v>3316</v>
      </c>
      <c r="P3322" s="1" t="s">
        <v>3319</v>
      </c>
      <c r="Q3322" s="3">
        <v>0</v>
      </c>
      <c r="S3322" s="23" t="s">
        <v>5949</v>
      </c>
      <c r="W3322" s="45" t="str">
        <f>HYPERLINK("http://ictvonline.org/taxonomy/p/taxonomy-history?taxnode_id=201851197","ICTVonline=201851197")</f>
        <v>ICTVonline=201851197</v>
      </c>
      <c r="AA3322" s="1">
        <v>201850000</v>
      </c>
      <c r="AB3322" s="1">
        <v>34</v>
      </c>
    </row>
    <row r="3323" spans="1:28" x14ac:dyDescent="0.15">
      <c r="A3323" s="1">
        <v>8489</v>
      </c>
      <c r="J3323" s="1" t="s">
        <v>1332</v>
      </c>
      <c r="L3323" s="1" t="s">
        <v>901</v>
      </c>
      <c r="N3323" s="1" t="s">
        <v>3316</v>
      </c>
      <c r="P3323" s="1" t="s">
        <v>3320</v>
      </c>
      <c r="Q3323" s="3">
        <v>0</v>
      </c>
      <c r="S3323" s="23" t="s">
        <v>5949</v>
      </c>
      <c r="W3323" s="45" t="str">
        <f>HYPERLINK("http://ictvonline.org/taxonomy/p/taxonomy-history?taxnode_id=201851198","ICTVonline=201851198")</f>
        <v>ICTVonline=201851198</v>
      </c>
      <c r="AA3323" s="1">
        <v>201850000</v>
      </c>
      <c r="AB3323" s="1">
        <v>34</v>
      </c>
    </row>
    <row r="3324" spans="1:28" x14ac:dyDescent="0.15">
      <c r="A3324" s="1">
        <v>8491</v>
      </c>
      <c r="J3324" s="1" t="s">
        <v>1332</v>
      </c>
      <c r="L3324" s="1" t="s">
        <v>901</v>
      </c>
      <c r="N3324" s="1" t="s">
        <v>3316</v>
      </c>
      <c r="P3324" s="1" t="s">
        <v>3321</v>
      </c>
      <c r="Q3324" s="3">
        <v>0</v>
      </c>
      <c r="S3324" s="23" t="s">
        <v>5949</v>
      </c>
      <c r="W3324" s="45" t="str">
        <f>HYPERLINK("http://ictvonline.org/taxonomy/p/taxonomy-history?taxnode_id=201851199","ICTVonline=201851199")</f>
        <v>ICTVonline=201851199</v>
      </c>
      <c r="AA3324" s="1">
        <v>201850000</v>
      </c>
      <c r="AB3324" s="1">
        <v>34</v>
      </c>
    </row>
    <row r="3325" spans="1:28" x14ac:dyDescent="0.15">
      <c r="A3325" s="1">
        <v>8493</v>
      </c>
      <c r="J3325" s="1" t="s">
        <v>1332</v>
      </c>
      <c r="L3325" s="1" t="s">
        <v>901</v>
      </c>
      <c r="N3325" s="1" t="s">
        <v>3316</v>
      </c>
      <c r="P3325" s="1" t="s">
        <v>3322</v>
      </c>
      <c r="Q3325" s="3">
        <v>0</v>
      </c>
      <c r="S3325" s="23" t="s">
        <v>5949</v>
      </c>
      <c r="W3325" s="45" t="str">
        <f>HYPERLINK("http://ictvonline.org/taxonomy/p/taxonomy-history?taxnode_id=201851200","ICTVonline=201851200")</f>
        <v>ICTVonline=201851200</v>
      </c>
      <c r="AA3325" s="1">
        <v>201850000</v>
      </c>
      <c r="AB3325" s="1">
        <v>34</v>
      </c>
    </row>
    <row r="3326" spans="1:28" x14ac:dyDescent="0.15">
      <c r="A3326" s="1">
        <v>8495</v>
      </c>
      <c r="J3326" s="1" t="s">
        <v>1332</v>
      </c>
      <c r="L3326" s="1" t="s">
        <v>901</v>
      </c>
      <c r="N3326" s="1" t="s">
        <v>3316</v>
      </c>
      <c r="P3326" s="1" t="s">
        <v>3323</v>
      </c>
      <c r="Q3326" s="3">
        <v>0</v>
      </c>
      <c r="S3326" s="23" t="s">
        <v>5949</v>
      </c>
      <c r="W3326" s="45" t="str">
        <f>HYPERLINK("http://ictvonline.org/taxonomy/p/taxonomy-history?taxnode_id=201851201","ICTVonline=201851201")</f>
        <v>ICTVonline=201851201</v>
      </c>
      <c r="AA3326" s="1">
        <v>201850000</v>
      </c>
      <c r="AB3326" s="1">
        <v>34</v>
      </c>
    </row>
    <row r="3327" spans="1:28" x14ac:dyDescent="0.15">
      <c r="A3327" s="1">
        <v>8497</v>
      </c>
      <c r="J3327" s="1" t="s">
        <v>1332</v>
      </c>
      <c r="L3327" s="1" t="s">
        <v>901</v>
      </c>
      <c r="N3327" s="1" t="s">
        <v>3316</v>
      </c>
      <c r="P3327" s="1" t="s">
        <v>3324</v>
      </c>
      <c r="Q3327" s="3">
        <v>0</v>
      </c>
      <c r="S3327" s="23" t="s">
        <v>5949</v>
      </c>
      <c r="W3327" s="45" t="str">
        <f>HYPERLINK("http://ictvonline.org/taxonomy/p/taxonomy-history?taxnode_id=201851202","ICTVonline=201851202")</f>
        <v>ICTVonline=201851202</v>
      </c>
      <c r="AA3327" s="1">
        <v>201850000</v>
      </c>
      <c r="AB3327" s="1">
        <v>34</v>
      </c>
    </row>
    <row r="3328" spans="1:28" x14ac:dyDescent="0.15">
      <c r="A3328" s="1">
        <v>8499</v>
      </c>
      <c r="J3328" s="1" t="s">
        <v>1332</v>
      </c>
      <c r="L3328" s="1" t="s">
        <v>901</v>
      </c>
      <c r="N3328" s="1" t="s">
        <v>3316</v>
      </c>
      <c r="P3328" s="1" t="s">
        <v>3325</v>
      </c>
      <c r="Q3328" s="3">
        <v>0</v>
      </c>
      <c r="S3328" s="23" t="s">
        <v>5949</v>
      </c>
      <c r="W3328" s="45" t="str">
        <f>HYPERLINK("http://ictvonline.org/taxonomy/p/taxonomy-history?taxnode_id=201851203","ICTVonline=201851203")</f>
        <v>ICTVonline=201851203</v>
      </c>
      <c r="AA3328" s="1">
        <v>201850000</v>
      </c>
      <c r="AB3328" s="1">
        <v>34</v>
      </c>
    </row>
    <row r="3329" spans="1:28" x14ac:dyDescent="0.15">
      <c r="A3329" s="1">
        <v>8501</v>
      </c>
      <c r="J3329" s="1" t="s">
        <v>1332</v>
      </c>
      <c r="L3329" s="1" t="s">
        <v>901</v>
      </c>
      <c r="N3329" s="1" t="s">
        <v>3316</v>
      </c>
      <c r="P3329" s="1" t="s">
        <v>3326</v>
      </c>
      <c r="Q3329" s="3">
        <v>0</v>
      </c>
      <c r="S3329" s="23" t="s">
        <v>5949</v>
      </c>
      <c r="W3329" s="45" t="str">
        <f>HYPERLINK("http://ictvonline.org/taxonomy/p/taxonomy-history?taxnode_id=201851204","ICTVonline=201851204")</f>
        <v>ICTVonline=201851204</v>
      </c>
      <c r="AA3329" s="1">
        <v>201850000</v>
      </c>
      <c r="AB3329" s="1">
        <v>34</v>
      </c>
    </row>
    <row r="3330" spans="1:28" x14ac:dyDescent="0.15">
      <c r="A3330" s="1">
        <v>8503</v>
      </c>
      <c r="J3330" s="1" t="s">
        <v>1332</v>
      </c>
      <c r="L3330" s="1" t="s">
        <v>901</v>
      </c>
      <c r="N3330" s="1" t="s">
        <v>3316</v>
      </c>
      <c r="P3330" s="1" t="s">
        <v>3327</v>
      </c>
      <c r="Q3330" s="3">
        <v>0</v>
      </c>
      <c r="S3330" s="23" t="s">
        <v>5949</v>
      </c>
      <c r="W3330" s="45" t="str">
        <f>HYPERLINK("http://ictvonline.org/taxonomy/p/taxonomy-history?taxnode_id=201851205","ICTVonline=201851205")</f>
        <v>ICTVonline=201851205</v>
      </c>
      <c r="AA3330" s="1">
        <v>201850000</v>
      </c>
      <c r="AB3330" s="1">
        <v>34</v>
      </c>
    </row>
    <row r="3331" spans="1:28" x14ac:dyDescent="0.15">
      <c r="A3331" s="1">
        <v>8505</v>
      </c>
      <c r="J3331" s="1" t="s">
        <v>1332</v>
      </c>
      <c r="L3331" s="1" t="s">
        <v>901</v>
      </c>
      <c r="N3331" s="1" t="s">
        <v>3316</v>
      </c>
      <c r="P3331" s="1" t="s">
        <v>3328</v>
      </c>
      <c r="Q3331" s="3">
        <v>0</v>
      </c>
      <c r="S3331" s="23" t="s">
        <v>5949</v>
      </c>
      <c r="W3331" s="45" t="str">
        <f>HYPERLINK("http://ictvonline.org/taxonomy/p/taxonomy-history?taxnode_id=201851206","ICTVonline=201851206")</f>
        <v>ICTVonline=201851206</v>
      </c>
      <c r="AA3331" s="1">
        <v>201850000</v>
      </c>
      <c r="AB3331" s="1">
        <v>34</v>
      </c>
    </row>
    <row r="3332" spans="1:28" x14ac:dyDescent="0.15">
      <c r="A3332" s="1">
        <v>8507</v>
      </c>
      <c r="J3332" s="1" t="s">
        <v>1332</v>
      </c>
      <c r="L3332" s="1" t="s">
        <v>901</v>
      </c>
      <c r="N3332" s="1" t="s">
        <v>3316</v>
      </c>
      <c r="P3332" s="1" t="s">
        <v>3329</v>
      </c>
      <c r="Q3332" s="3">
        <v>0</v>
      </c>
      <c r="S3332" s="23" t="s">
        <v>5949</v>
      </c>
      <c r="W3332" s="45" t="str">
        <f>HYPERLINK("http://ictvonline.org/taxonomy/p/taxonomy-history?taxnode_id=201851207","ICTVonline=201851207")</f>
        <v>ICTVonline=201851207</v>
      </c>
      <c r="AA3332" s="1">
        <v>201850000</v>
      </c>
      <c r="AB3332" s="1">
        <v>34</v>
      </c>
    </row>
    <row r="3333" spans="1:28" x14ac:dyDescent="0.15">
      <c r="A3333" s="1">
        <v>8509</v>
      </c>
      <c r="J3333" s="1" t="s">
        <v>1332</v>
      </c>
      <c r="L3333" s="1" t="s">
        <v>901</v>
      </c>
      <c r="N3333" s="1" t="s">
        <v>3316</v>
      </c>
      <c r="P3333" s="1" t="s">
        <v>3330</v>
      </c>
      <c r="Q3333" s="3">
        <v>0</v>
      </c>
      <c r="S3333" s="23" t="s">
        <v>5949</v>
      </c>
      <c r="W3333" s="45" t="str">
        <f>HYPERLINK("http://ictvonline.org/taxonomy/p/taxonomy-history?taxnode_id=201851208","ICTVonline=201851208")</f>
        <v>ICTVonline=201851208</v>
      </c>
      <c r="AA3333" s="1">
        <v>201850000</v>
      </c>
      <c r="AB3333" s="1">
        <v>34</v>
      </c>
    </row>
    <row r="3334" spans="1:28" x14ac:dyDescent="0.15">
      <c r="A3334" s="1">
        <v>8511</v>
      </c>
      <c r="J3334" s="1" t="s">
        <v>1332</v>
      </c>
      <c r="L3334" s="1" t="s">
        <v>901</v>
      </c>
      <c r="N3334" s="1" t="s">
        <v>3316</v>
      </c>
      <c r="P3334" s="1" t="s">
        <v>3331</v>
      </c>
      <c r="Q3334" s="3">
        <v>0</v>
      </c>
      <c r="S3334" s="23" t="s">
        <v>5949</v>
      </c>
      <c r="W3334" s="45" t="str">
        <f>HYPERLINK("http://ictvonline.org/taxonomy/p/taxonomy-history?taxnode_id=201851209","ICTVonline=201851209")</f>
        <v>ICTVonline=201851209</v>
      </c>
      <c r="AA3334" s="1">
        <v>201850000</v>
      </c>
      <c r="AB3334" s="1">
        <v>34</v>
      </c>
    </row>
    <row r="3335" spans="1:28" x14ac:dyDescent="0.15">
      <c r="A3335" s="1">
        <v>8513</v>
      </c>
      <c r="J3335" s="1" t="s">
        <v>1332</v>
      </c>
      <c r="L3335" s="1" t="s">
        <v>901</v>
      </c>
      <c r="N3335" s="1" t="s">
        <v>3316</v>
      </c>
      <c r="P3335" s="1" t="s">
        <v>3332</v>
      </c>
      <c r="Q3335" s="3">
        <v>0</v>
      </c>
      <c r="S3335" s="23" t="s">
        <v>5949</v>
      </c>
      <c r="W3335" s="45" t="str">
        <f>HYPERLINK("http://ictvonline.org/taxonomy/p/taxonomy-history?taxnode_id=201851210","ICTVonline=201851210")</f>
        <v>ICTVonline=201851210</v>
      </c>
      <c r="AA3335" s="1">
        <v>201850000</v>
      </c>
      <c r="AB3335" s="1">
        <v>34</v>
      </c>
    </row>
    <row r="3336" spans="1:28" x14ac:dyDescent="0.15">
      <c r="A3336" s="1">
        <v>8515</v>
      </c>
      <c r="J3336" s="1" t="s">
        <v>1332</v>
      </c>
      <c r="L3336" s="1" t="s">
        <v>901</v>
      </c>
      <c r="N3336" s="1" t="s">
        <v>3316</v>
      </c>
      <c r="P3336" s="1" t="s">
        <v>3333</v>
      </c>
      <c r="Q3336" s="3">
        <v>0</v>
      </c>
      <c r="S3336" s="23" t="s">
        <v>5949</v>
      </c>
      <c r="W3336" s="45" t="str">
        <f>HYPERLINK("http://ictvonline.org/taxonomy/p/taxonomy-history?taxnode_id=201851211","ICTVonline=201851211")</f>
        <v>ICTVonline=201851211</v>
      </c>
      <c r="AA3336" s="1">
        <v>201850000</v>
      </c>
      <c r="AB3336" s="1">
        <v>34</v>
      </c>
    </row>
    <row r="3337" spans="1:28" x14ac:dyDescent="0.15">
      <c r="A3337" s="1">
        <v>8517</v>
      </c>
      <c r="J3337" s="1" t="s">
        <v>1332</v>
      </c>
      <c r="L3337" s="1" t="s">
        <v>901</v>
      </c>
      <c r="N3337" s="1" t="s">
        <v>3316</v>
      </c>
      <c r="P3337" s="1" t="s">
        <v>3334</v>
      </c>
      <c r="Q3337" s="3">
        <v>0</v>
      </c>
      <c r="S3337" s="23" t="s">
        <v>5949</v>
      </c>
      <c r="W3337" s="45" t="str">
        <f>HYPERLINK("http://ictvonline.org/taxonomy/p/taxonomy-history?taxnode_id=201851212","ICTVonline=201851212")</f>
        <v>ICTVonline=201851212</v>
      </c>
      <c r="AA3337" s="1">
        <v>201850000</v>
      </c>
      <c r="AB3337" s="1">
        <v>34</v>
      </c>
    </row>
    <row r="3338" spans="1:28" x14ac:dyDescent="0.15">
      <c r="A3338" s="1">
        <v>8519</v>
      </c>
      <c r="J3338" s="1" t="s">
        <v>1332</v>
      </c>
      <c r="L3338" s="1" t="s">
        <v>901</v>
      </c>
      <c r="N3338" s="1" t="s">
        <v>3316</v>
      </c>
      <c r="P3338" s="1" t="s">
        <v>3335</v>
      </c>
      <c r="Q3338" s="3">
        <v>0</v>
      </c>
      <c r="S3338" s="23" t="s">
        <v>5949</v>
      </c>
      <c r="W3338" s="45" t="str">
        <f>HYPERLINK("http://ictvonline.org/taxonomy/p/taxonomy-history?taxnode_id=201851213","ICTVonline=201851213")</f>
        <v>ICTVonline=201851213</v>
      </c>
      <c r="AA3338" s="1">
        <v>201850000</v>
      </c>
      <c r="AB3338" s="1">
        <v>34</v>
      </c>
    </row>
    <row r="3339" spans="1:28" x14ac:dyDescent="0.15">
      <c r="A3339" s="1">
        <v>8521</v>
      </c>
      <c r="J3339" s="1" t="s">
        <v>1332</v>
      </c>
      <c r="L3339" s="1" t="s">
        <v>901</v>
      </c>
      <c r="N3339" s="1" t="s">
        <v>3316</v>
      </c>
      <c r="P3339" s="1" t="s">
        <v>3336</v>
      </c>
      <c r="Q3339" s="3">
        <v>0</v>
      </c>
      <c r="S3339" s="23" t="s">
        <v>5949</v>
      </c>
      <c r="W3339" s="45" t="str">
        <f>HYPERLINK("http://ictvonline.org/taxonomy/p/taxonomy-history?taxnode_id=201851214","ICTVonline=201851214")</f>
        <v>ICTVonline=201851214</v>
      </c>
      <c r="AA3339" s="1">
        <v>201850000</v>
      </c>
      <c r="AB3339" s="1">
        <v>34</v>
      </c>
    </row>
    <row r="3340" spans="1:28" x14ac:dyDescent="0.15">
      <c r="A3340" s="1">
        <v>8523</v>
      </c>
      <c r="J3340" s="1" t="s">
        <v>1332</v>
      </c>
      <c r="L3340" s="1" t="s">
        <v>901</v>
      </c>
      <c r="N3340" s="1" t="s">
        <v>3316</v>
      </c>
      <c r="P3340" s="1" t="s">
        <v>3337</v>
      </c>
      <c r="Q3340" s="3">
        <v>0</v>
      </c>
      <c r="S3340" s="23" t="s">
        <v>5949</v>
      </c>
      <c r="W3340" s="45" t="str">
        <f>HYPERLINK("http://ictvonline.org/taxonomy/p/taxonomy-history?taxnode_id=201851215","ICTVonline=201851215")</f>
        <v>ICTVonline=201851215</v>
      </c>
      <c r="AA3340" s="1">
        <v>201850000</v>
      </c>
      <c r="AB3340" s="1">
        <v>34</v>
      </c>
    </row>
    <row r="3341" spans="1:28" x14ac:dyDescent="0.15">
      <c r="A3341" s="1">
        <v>8525</v>
      </c>
      <c r="J3341" s="1" t="s">
        <v>1332</v>
      </c>
      <c r="L3341" s="1" t="s">
        <v>901</v>
      </c>
      <c r="N3341" s="1" t="s">
        <v>3316</v>
      </c>
      <c r="P3341" s="1" t="s">
        <v>3338</v>
      </c>
      <c r="Q3341" s="3">
        <v>1</v>
      </c>
      <c r="S3341" s="23" t="s">
        <v>5949</v>
      </c>
      <c r="W3341" s="45" t="str">
        <f>HYPERLINK("http://ictvonline.org/taxonomy/p/taxonomy-history?taxnode_id=201851216","ICTVonline=201851216")</f>
        <v>ICTVonline=201851216</v>
      </c>
      <c r="AA3341" s="1">
        <v>201850000</v>
      </c>
      <c r="AB3341" s="1">
        <v>34</v>
      </c>
    </row>
    <row r="3342" spans="1:28" x14ac:dyDescent="0.15">
      <c r="A3342" s="1">
        <v>8527</v>
      </c>
      <c r="J3342" s="1" t="s">
        <v>1332</v>
      </c>
      <c r="L3342" s="1" t="s">
        <v>901</v>
      </c>
      <c r="N3342" s="1" t="s">
        <v>3316</v>
      </c>
      <c r="P3342" s="1" t="s">
        <v>3339</v>
      </c>
      <c r="Q3342" s="3">
        <v>0</v>
      </c>
      <c r="S3342" s="23" t="s">
        <v>5949</v>
      </c>
      <c r="W3342" s="45" t="str">
        <f>HYPERLINK("http://ictvonline.org/taxonomy/p/taxonomy-history?taxnode_id=201851217","ICTVonline=201851217")</f>
        <v>ICTVonline=201851217</v>
      </c>
      <c r="AA3342" s="1">
        <v>201850000</v>
      </c>
      <c r="AB3342" s="1">
        <v>34</v>
      </c>
    </row>
    <row r="3343" spans="1:28" x14ac:dyDescent="0.15">
      <c r="A3343" s="1">
        <v>8529</v>
      </c>
      <c r="J3343" s="1" t="s">
        <v>1332</v>
      </c>
      <c r="L3343" s="1" t="s">
        <v>901</v>
      </c>
      <c r="N3343" s="1" t="s">
        <v>3316</v>
      </c>
      <c r="P3343" s="1" t="s">
        <v>3340</v>
      </c>
      <c r="Q3343" s="3">
        <v>0</v>
      </c>
      <c r="S3343" s="23" t="s">
        <v>5949</v>
      </c>
      <c r="W3343" s="45" t="str">
        <f>HYPERLINK("http://ictvonline.org/taxonomy/p/taxonomy-history?taxnode_id=201851218","ICTVonline=201851218")</f>
        <v>ICTVonline=201851218</v>
      </c>
      <c r="AA3343" s="1">
        <v>201850000</v>
      </c>
      <c r="AB3343" s="1">
        <v>34</v>
      </c>
    </row>
    <row r="3344" spans="1:28" x14ac:dyDescent="0.15">
      <c r="A3344" s="1">
        <v>8531</v>
      </c>
      <c r="J3344" s="1" t="s">
        <v>1332</v>
      </c>
      <c r="L3344" s="1" t="s">
        <v>901</v>
      </c>
      <c r="N3344" s="1" t="s">
        <v>3316</v>
      </c>
      <c r="P3344" s="1" t="s">
        <v>3341</v>
      </c>
      <c r="Q3344" s="3">
        <v>0</v>
      </c>
      <c r="S3344" s="23" t="s">
        <v>5949</v>
      </c>
      <c r="W3344" s="45" t="str">
        <f>HYPERLINK("http://ictvonline.org/taxonomy/p/taxonomy-history?taxnode_id=201851219","ICTVonline=201851219")</f>
        <v>ICTVonline=201851219</v>
      </c>
      <c r="AA3344" s="1">
        <v>201850000</v>
      </c>
      <c r="AB3344" s="1">
        <v>34</v>
      </c>
    </row>
    <row r="3345" spans="1:28" x14ac:dyDescent="0.15">
      <c r="A3345" s="1">
        <v>8533</v>
      </c>
      <c r="J3345" s="1" t="s">
        <v>1332</v>
      </c>
      <c r="L3345" s="1" t="s">
        <v>901</v>
      </c>
      <c r="N3345" s="1" t="s">
        <v>3316</v>
      </c>
      <c r="P3345" s="1" t="s">
        <v>3342</v>
      </c>
      <c r="Q3345" s="3">
        <v>0</v>
      </c>
      <c r="S3345" s="23" t="s">
        <v>5949</v>
      </c>
      <c r="W3345" s="45" t="str">
        <f>HYPERLINK("http://ictvonline.org/taxonomy/p/taxonomy-history?taxnode_id=201851220","ICTVonline=201851220")</f>
        <v>ICTVonline=201851220</v>
      </c>
      <c r="AA3345" s="1">
        <v>201850000</v>
      </c>
      <c r="AB3345" s="1">
        <v>34</v>
      </c>
    </row>
    <row r="3346" spans="1:28" x14ac:dyDescent="0.15">
      <c r="A3346" s="1">
        <v>8535</v>
      </c>
      <c r="J3346" s="1" t="s">
        <v>1332</v>
      </c>
      <c r="L3346" s="1" t="s">
        <v>901</v>
      </c>
      <c r="N3346" s="1" t="s">
        <v>3316</v>
      </c>
      <c r="P3346" s="1" t="s">
        <v>3343</v>
      </c>
      <c r="Q3346" s="3">
        <v>0</v>
      </c>
      <c r="S3346" s="23" t="s">
        <v>5949</v>
      </c>
      <c r="W3346" s="45" t="str">
        <f>HYPERLINK("http://ictvonline.org/taxonomy/p/taxonomy-history?taxnode_id=201851221","ICTVonline=201851221")</f>
        <v>ICTVonline=201851221</v>
      </c>
      <c r="AA3346" s="1">
        <v>201850000</v>
      </c>
      <c r="AB3346" s="1">
        <v>34</v>
      </c>
    </row>
    <row r="3347" spans="1:28" x14ac:dyDescent="0.15">
      <c r="A3347" s="1">
        <v>8537</v>
      </c>
      <c r="J3347" s="1" t="s">
        <v>1332</v>
      </c>
      <c r="L3347" s="1" t="s">
        <v>901</v>
      </c>
      <c r="N3347" s="1" t="s">
        <v>3316</v>
      </c>
      <c r="P3347" s="1" t="s">
        <v>3344</v>
      </c>
      <c r="Q3347" s="3">
        <v>0</v>
      </c>
      <c r="S3347" s="23" t="s">
        <v>5949</v>
      </c>
      <c r="W3347" s="45" t="str">
        <f>HYPERLINK("http://ictvonline.org/taxonomy/p/taxonomy-history?taxnode_id=201851222","ICTVonline=201851222")</f>
        <v>ICTVonline=201851222</v>
      </c>
      <c r="AA3347" s="1">
        <v>201850000</v>
      </c>
      <c r="AB3347" s="1">
        <v>34</v>
      </c>
    </row>
    <row r="3348" spans="1:28" x14ac:dyDescent="0.15">
      <c r="A3348" s="1">
        <v>8539</v>
      </c>
      <c r="J3348" s="1" t="s">
        <v>1332</v>
      </c>
      <c r="L3348" s="1" t="s">
        <v>901</v>
      </c>
      <c r="N3348" s="1" t="s">
        <v>3316</v>
      </c>
      <c r="P3348" s="1" t="s">
        <v>3345</v>
      </c>
      <c r="Q3348" s="3">
        <v>0</v>
      </c>
      <c r="S3348" s="23" t="s">
        <v>5949</v>
      </c>
      <c r="W3348" s="45" t="str">
        <f>HYPERLINK("http://ictvonline.org/taxonomy/p/taxonomy-history?taxnode_id=201851223","ICTVonline=201851223")</f>
        <v>ICTVonline=201851223</v>
      </c>
      <c r="AA3348" s="1">
        <v>201850000</v>
      </c>
      <c r="AB3348" s="1">
        <v>34</v>
      </c>
    </row>
    <row r="3349" spans="1:28" x14ac:dyDescent="0.15">
      <c r="A3349" s="1">
        <v>8541</v>
      </c>
      <c r="J3349" s="1" t="s">
        <v>1332</v>
      </c>
      <c r="L3349" s="1" t="s">
        <v>901</v>
      </c>
      <c r="N3349" s="1" t="s">
        <v>3316</v>
      </c>
      <c r="P3349" s="1" t="s">
        <v>3346</v>
      </c>
      <c r="Q3349" s="3">
        <v>0</v>
      </c>
      <c r="S3349" s="23" t="s">
        <v>5949</v>
      </c>
      <c r="W3349" s="45" t="str">
        <f>HYPERLINK("http://ictvonline.org/taxonomy/p/taxonomy-history?taxnode_id=201851224","ICTVonline=201851224")</f>
        <v>ICTVonline=201851224</v>
      </c>
      <c r="AA3349" s="1">
        <v>201850000</v>
      </c>
      <c r="AB3349" s="1">
        <v>34</v>
      </c>
    </row>
    <row r="3350" spans="1:28" x14ac:dyDescent="0.15">
      <c r="A3350" s="1">
        <v>8543</v>
      </c>
      <c r="J3350" s="1" t="s">
        <v>1332</v>
      </c>
      <c r="L3350" s="1" t="s">
        <v>901</v>
      </c>
      <c r="N3350" s="1" t="s">
        <v>3316</v>
      </c>
      <c r="P3350" s="1" t="s">
        <v>3347</v>
      </c>
      <c r="Q3350" s="3">
        <v>0</v>
      </c>
      <c r="S3350" s="23" t="s">
        <v>5949</v>
      </c>
      <c r="W3350" s="45" t="str">
        <f>HYPERLINK("http://ictvonline.org/taxonomy/p/taxonomy-history?taxnode_id=201851225","ICTVonline=201851225")</f>
        <v>ICTVonline=201851225</v>
      </c>
      <c r="AA3350" s="1">
        <v>201850000</v>
      </c>
      <c r="AB3350" s="1">
        <v>34</v>
      </c>
    </row>
    <row r="3351" spans="1:28" x14ac:dyDescent="0.15">
      <c r="A3351" s="1">
        <v>8547</v>
      </c>
      <c r="J3351" s="1" t="s">
        <v>1332</v>
      </c>
      <c r="L3351" s="1" t="s">
        <v>901</v>
      </c>
      <c r="N3351" s="1" t="s">
        <v>3348</v>
      </c>
      <c r="P3351" s="1" t="s">
        <v>3349</v>
      </c>
      <c r="Q3351" s="3">
        <v>1</v>
      </c>
      <c r="S3351" s="23" t="s">
        <v>5949</v>
      </c>
      <c r="W3351" s="45" t="str">
        <f>HYPERLINK("http://ictvonline.org/taxonomy/p/taxonomy-history?taxnode_id=201851227","ICTVonline=201851227")</f>
        <v>ICTVonline=201851227</v>
      </c>
      <c r="AA3351" s="1">
        <v>201850000</v>
      </c>
      <c r="AB3351" s="1">
        <v>34</v>
      </c>
    </row>
    <row r="3352" spans="1:28" x14ac:dyDescent="0.15">
      <c r="A3352" s="1">
        <v>8549</v>
      </c>
      <c r="J3352" s="1" t="s">
        <v>1332</v>
      </c>
      <c r="L3352" s="1" t="s">
        <v>901</v>
      </c>
      <c r="N3352" s="1" t="s">
        <v>3348</v>
      </c>
      <c r="P3352" s="1" t="s">
        <v>3350</v>
      </c>
      <c r="Q3352" s="3">
        <v>0</v>
      </c>
      <c r="S3352" s="23" t="s">
        <v>5949</v>
      </c>
      <c r="W3352" s="45" t="str">
        <f>HYPERLINK("http://ictvonline.org/taxonomy/p/taxonomy-history?taxnode_id=201851228","ICTVonline=201851228")</f>
        <v>ICTVonline=201851228</v>
      </c>
      <c r="AA3352" s="1">
        <v>201850000</v>
      </c>
      <c r="AB3352" s="1">
        <v>34</v>
      </c>
    </row>
    <row r="3353" spans="1:28" x14ac:dyDescent="0.15">
      <c r="A3353" s="1">
        <v>8551</v>
      </c>
      <c r="J3353" s="1" t="s">
        <v>1332</v>
      </c>
      <c r="L3353" s="1" t="s">
        <v>901</v>
      </c>
      <c r="N3353" s="1" t="s">
        <v>3348</v>
      </c>
      <c r="P3353" s="1" t="s">
        <v>3351</v>
      </c>
      <c r="Q3353" s="3">
        <v>0</v>
      </c>
      <c r="S3353" s="23" t="s">
        <v>5949</v>
      </c>
      <c r="W3353" s="45" t="str">
        <f>HYPERLINK("http://ictvonline.org/taxonomy/p/taxonomy-history?taxnode_id=201851229","ICTVonline=201851229")</f>
        <v>ICTVonline=201851229</v>
      </c>
      <c r="AA3353" s="1">
        <v>201850000</v>
      </c>
      <c r="AB3353" s="1">
        <v>34</v>
      </c>
    </row>
    <row r="3354" spans="1:28" x14ac:dyDescent="0.15">
      <c r="A3354" s="1">
        <v>8555</v>
      </c>
      <c r="J3354" s="1" t="s">
        <v>1332</v>
      </c>
      <c r="L3354" s="1" t="s">
        <v>901</v>
      </c>
      <c r="N3354" s="1" t="s">
        <v>6734</v>
      </c>
      <c r="P3354" s="1" t="s">
        <v>6735</v>
      </c>
      <c r="Q3354" s="3">
        <v>1</v>
      </c>
      <c r="S3354" s="23" t="s">
        <v>5949</v>
      </c>
      <c r="T3354" s="23" t="s">
        <v>4929</v>
      </c>
      <c r="U3354" s="3">
        <v>34</v>
      </c>
      <c r="V3354" s="3" t="s">
        <v>6736</v>
      </c>
      <c r="W3354" s="45" t="str">
        <f>HYPERLINK("http://ictvonline.org/taxonomy/p/taxonomy-history?taxnode_id=201856749","ICTVonline=201856749")</f>
        <v>ICTVonline=201856749</v>
      </c>
      <c r="AA3354" s="1">
        <v>201850000</v>
      </c>
      <c r="AB3354" s="1">
        <v>34</v>
      </c>
    </row>
    <row r="3355" spans="1:28" x14ac:dyDescent="0.15">
      <c r="A3355" s="1">
        <v>8559</v>
      </c>
      <c r="J3355" s="1" t="s">
        <v>1332</v>
      </c>
      <c r="L3355" s="1" t="s">
        <v>901</v>
      </c>
      <c r="N3355" s="1" t="s">
        <v>6737</v>
      </c>
      <c r="P3355" s="1" t="s">
        <v>6738</v>
      </c>
      <c r="Q3355" s="3">
        <v>1</v>
      </c>
      <c r="S3355" s="23" t="s">
        <v>5949</v>
      </c>
      <c r="T3355" s="23" t="s">
        <v>4929</v>
      </c>
      <c r="U3355" s="3">
        <v>34</v>
      </c>
      <c r="V3355" s="3" t="s">
        <v>6739</v>
      </c>
      <c r="W3355" s="45" t="str">
        <f>HYPERLINK("http://ictvonline.org/taxonomy/p/taxonomy-history?taxnode_id=201856592","ICTVonline=201856592")</f>
        <v>ICTVonline=201856592</v>
      </c>
      <c r="AA3355" s="1">
        <v>201850000</v>
      </c>
      <c r="AB3355" s="1">
        <v>34</v>
      </c>
    </row>
    <row r="3356" spans="1:28" x14ac:dyDescent="0.15">
      <c r="A3356" s="1">
        <v>8563</v>
      </c>
      <c r="J3356" s="1" t="s">
        <v>1332</v>
      </c>
      <c r="L3356" s="1" t="s">
        <v>901</v>
      </c>
      <c r="N3356" s="1" t="s">
        <v>6740</v>
      </c>
      <c r="P3356" s="1" t="s">
        <v>6741</v>
      </c>
      <c r="Q3356" s="3">
        <v>1</v>
      </c>
      <c r="S3356" s="23" t="s">
        <v>5949</v>
      </c>
      <c r="T3356" s="23" t="s">
        <v>4929</v>
      </c>
      <c r="U3356" s="3">
        <v>34</v>
      </c>
      <c r="V3356" s="3" t="s">
        <v>6742</v>
      </c>
      <c r="W3356" s="45" t="str">
        <f>HYPERLINK("http://ictvonline.org/taxonomy/p/taxonomy-history?taxnode_id=201857062","ICTVonline=201857062")</f>
        <v>ICTVonline=201857062</v>
      </c>
      <c r="AA3356" s="1">
        <v>201850000</v>
      </c>
      <c r="AB3356" s="1">
        <v>34</v>
      </c>
    </row>
    <row r="3357" spans="1:28" x14ac:dyDescent="0.15">
      <c r="A3357" s="1">
        <v>8567</v>
      </c>
      <c r="J3357" s="1" t="s">
        <v>1332</v>
      </c>
      <c r="L3357" s="1" t="s">
        <v>901</v>
      </c>
      <c r="N3357" s="1" t="s">
        <v>3355</v>
      </c>
      <c r="P3357" s="1" t="s">
        <v>3356</v>
      </c>
      <c r="Q3357" s="3">
        <v>0</v>
      </c>
      <c r="S3357" s="23" t="s">
        <v>5949</v>
      </c>
      <c r="W3357" s="45" t="str">
        <f>HYPERLINK("http://ictvonline.org/taxonomy/p/taxonomy-history?taxnode_id=201851237","ICTVonline=201851237")</f>
        <v>ICTVonline=201851237</v>
      </c>
      <c r="AA3357" s="1">
        <v>201850000</v>
      </c>
      <c r="AB3357" s="1">
        <v>34</v>
      </c>
    </row>
    <row r="3358" spans="1:28" x14ac:dyDescent="0.15">
      <c r="A3358" s="1">
        <v>8569</v>
      </c>
      <c r="J3358" s="1" t="s">
        <v>1332</v>
      </c>
      <c r="L3358" s="1" t="s">
        <v>901</v>
      </c>
      <c r="N3358" s="1" t="s">
        <v>3355</v>
      </c>
      <c r="P3358" s="1" t="s">
        <v>3357</v>
      </c>
      <c r="Q3358" s="3">
        <v>1</v>
      </c>
      <c r="S3358" s="23" t="s">
        <v>5949</v>
      </c>
      <c r="W3358" s="45" t="str">
        <f>HYPERLINK("http://ictvonline.org/taxonomy/p/taxonomy-history?taxnode_id=201851238","ICTVonline=201851238")</f>
        <v>ICTVonline=201851238</v>
      </c>
      <c r="AA3358" s="1">
        <v>201850000</v>
      </c>
      <c r="AB3358" s="1">
        <v>34</v>
      </c>
    </row>
    <row r="3359" spans="1:28" x14ac:dyDescent="0.15">
      <c r="A3359" s="1">
        <v>8573</v>
      </c>
      <c r="J3359" s="1" t="s">
        <v>1332</v>
      </c>
      <c r="L3359" s="1" t="s">
        <v>901</v>
      </c>
      <c r="N3359" s="1" t="s">
        <v>3358</v>
      </c>
      <c r="P3359" s="1" t="s">
        <v>3359</v>
      </c>
      <c r="Q3359" s="3">
        <v>1</v>
      </c>
      <c r="S3359" s="23" t="s">
        <v>5949</v>
      </c>
      <c r="W3359" s="45" t="str">
        <f>HYPERLINK("http://ictvonline.org/taxonomy/p/taxonomy-history?taxnode_id=201851240","ICTVonline=201851240")</f>
        <v>ICTVonline=201851240</v>
      </c>
      <c r="AA3359" s="1">
        <v>201850000</v>
      </c>
      <c r="AB3359" s="1">
        <v>34</v>
      </c>
    </row>
    <row r="3360" spans="1:28" x14ac:dyDescent="0.15">
      <c r="A3360" s="1">
        <v>8577</v>
      </c>
      <c r="J3360" s="1" t="s">
        <v>1332</v>
      </c>
      <c r="L3360" s="1" t="s">
        <v>901</v>
      </c>
      <c r="N3360" s="1" t="s">
        <v>6743</v>
      </c>
      <c r="P3360" s="1" t="s">
        <v>5090</v>
      </c>
      <c r="Q3360" s="3">
        <v>1</v>
      </c>
      <c r="S3360" s="23" t="s">
        <v>5949</v>
      </c>
      <c r="T3360" s="23" t="s">
        <v>4931</v>
      </c>
      <c r="U3360" s="3">
        <v>34</v>
      </c>
      <c r="W3360" s="45" t="str">
        <f>HYPERLINK("http://ictvonline.org/taxonomy/p/taxonomy-history?taxnode_id=201855561","ICTVonline=201855561")</f>
        <v>ICTVonline=201855561</v>
      </c>
      <c r="AA3360" s="1">
        <v>201850000</v>
      </c>
      <c r="AB3360" s="1">
        <v>34</v>
      </c>
    </row>
    <row r="3361" spans="1:28" x14ac:dyDescent="0.15">
      <c r="A3361" s="1">
        <v>8581</v>
      </c>
      <c r="J3361" s="1" t="s">
        <v>1332</v>
      </c>
      <c r="L3361" s="1" t="s">
        <v>901</v>
      </c>
      <c r="N3361" s="1" t="s">
        <v>6744</v>
      </c>
      <c r="P3361" s="1" t="s">
        <v>3273</v>
      </c>
      <c r="Q3361" s="3">
        <v>1</v>
      </c>
      <c r="S3361" s="23" t="s">
        <v>5949</v>
      </c>
      <c r="T3361" s="23" t="s">
        <v>4931</v>
      </c>
      <c r="U3361" s="3">
        <v>34</v>
      </c>
      <c r="W3361" s="45" t="str">
        <f>HYPERLINK("http://ictvonline.org/taxonomy/p/taxonomy-history?taxnode_id=201851085","ICTVonline=201851085")</f>
        <v>ICTVonline=201851085</v>
      </c>
      <c r="AA3361" s="1">
        <v>201850000</v>
      </c>
      <c r="AB3361" s="1">
        <v>34</v>
      </c>
    </row>
    <row r="3362" spans="1:28" x14ac:dyDescent="0.15">
      <c r="A3362" s="1">
        <v>8585</v>
      </c>
      <c r="J3362" s="1" t="s">
        <v>1332</v>
      </c>
      <c r="L3362" s="1" t="s">
        <v>901</v>
      </c>
      <c r="N3362" s="1" t="s">
        <v>6745</v>
      </c>
      <c r="P3362" s="1" t="s">
        <v>3264</v>
      </c>
      <c r="Q3362" s="3">
        <v>1</v>
      </c>
      <c r="S3362" s="23" t="s">
        <v>5949</v>
      </c>
      <c r="T3362" s="23" t="s">
        <v>4931</v>
      </c>
      <c r="U3362" s="3">
        <v>34</v>
      </c>
      <c r="W3362" s="45" t="str">
        <f>HYPERLINK("http://ictvonline.org/taxonomy/p/taxonomy-history?taxnode_id=201851245","ICTVonline=201851245")</f>
        <v>ICTVonline=201851245</v>
      </c>
      <c r="AA3362" s="1">
        <v>201850000</v>
      </c>
      <c r="AB3362" s="1">
        <v>34</v>
      </c>
    </row>
    <row r="3363" spans="1:28" x14ac:dyDescent="0.15">
      <c r="A3363" s="1">
        <v>8589</v>
      </c>
      <c r="J3363" s="1" t="s">
        <v>1332</v>
      </c>
      <c r="L3363" s="1" t="s">
        <v>901</v>
      </c>
      <c r="N3363" s="1" t="s">
        <v>6746</v>
      </c>
      <c r="P3363" s="1" t="s">
        <v>6747</v>
      </c>
      <c r="Q3363" s="3">
        <v>1</v>
      </c>
      <c r="S3363" s="23" t="s">
        <v>5949</v>
      </c>
      <c r="T3363" s="23" t="s">
        <v>4929</v>
      </c>
      <c r="U3363" s="3">
        <v>34</v>
      </c>
      <c r="V3363" s="3" t="s">
        <v>6748</v>
      </c>
      <c r="W3363" s="45" t="str">
        <f>HYPERLINK("http://ictvonline.org/taxonomy/p/taxonomy-history?taxnode_id=201856863","ICTVonline=201856863")</f>
        <v>ICTVonline=201856863</v>
      </c>
      <c r="AA3363" s="1">
        <v>201850000</v>
      </c>
      <c r="AB3363" s="1">
        <v>34</v>
      </c>
    </row>
    <row r="3364" spans="1:28" x14ac:dyDescent="0.15">
      <c r="A3364" s="1">
        <v>8593</v>
      </c>
      <c r="J3364" s="1" t="s">
        <v>1332</v>
      </c>
      <c r="L3364" s="1" t="s">
        <v>901</v>
      </c>
      <c r="N3364" s="1" t="s">
        <v>6749</v>
      </c>
      <c r="P3364" s="1" t="s">
        <v>6750</v>
      </c>
      <c r="Q3364" s="3">
        <v>0</v>
      </c>
      <c r="S3364" s="23" t="s">
        <v>5949</v>
      </c>
      <c r="T3364" s="23" t="s">
        <v>4929</v>
      </c>
      <c r="U3364" s="3">
        <v>34</v>
      </c>
      <c r="V3364" s="3" t="s">
        <v>6751</v>
      </c>
      <c r="W3364" s="45" t="str">
        <f>HYPERLINK("http://ictvonline.org/taxonomy/p/taxonomy-history?taxnode_id=201856752","ICTVonline=201856752")</f>
        <v>ICTVonline=201856752</v>
      </c>
      <c r="AA3364" s="1">
        <v>201850000</v>
      </c>
      <c r="AB3364" s="1">
        <v>34</v>
      </c>
    </row>
    <row r="3365" spans="1:28" x14ac:dyDescent="0.15">
      <c r="A3365" s="1">
        <v>8595</v>
      </c>
      <c r="J3365" s="1" t="s">
        <v>1332</v>
      </c>
      <c r="L3365" s="1" t="s">
        <v>901</v>
      </c>
      <c r="N3365" s="1" t="s">
        <v>6749</v>
      </c>
      <c r="P3365" s="1" t="s">
        <v>6752</v>
      </c>
      <c r="Q3365" s="3">
        <v>1</v>
      </c>
      <c r="S3365" s="23" t="s">
        <v>5949</v>
      </c>
      <c r="T3365" s="23" t="s">
        <v>4929</v>
      </c>
      <c r="U3365" s="3">
        <v>34</v>
      </c>
      <c r="V3365" s="3" t="s">
        <v>6751</v>
      </c>
      <c r="W3365" s="45" t="str">
        <f>HYPERLINK("http://ictvonline.org/taxonomy/p/taxonomy-history?taxnode_id=201856751","ICTVonline=201856751")</f>
        <v>ICTVonline=201856751</v>
      </c>
      <c r="AA3365" s="1">
        <v>201850000</v>
      </c>
      <c r="AB3365" s="1">
        <v>34</v>
      </c>
    </row>
    <row r="3366" spans="1:28" x14ac:dyDescent="0.15">
      <c r="A3366" s="1">
        <v>8599</v>
      </c>
      <c r="J3366" s="1" t="s">
        <v>1332</v>
      </c>
      <c r="L3366" s="1" t="s">
        <v>901</v>
      </c>
      <c r="N3366" s="1" t="s">
        <v>6753</v>
      </c>
      <c r="P3366" s="1" t="s">
        <v>4478</v>
      </c>
      <c r="Q3366" s="3">
        <v>1</v>
      </c>
      <c r="S3366" s="23" t="s">
        <v>5949</v>
      </c>
      <c r="T3366" s="23" t="s">
        <v>4931</v>
      </c>
      <c r="U3366" s="3">
        <v>34</v>
      </c>
      <c r="W3366" s="45" t="str">
        <f>HYPERLINK("http://ictvonline.org/taxonomy/p/taxonomy-history?taxnode_id=201851235","ICTVonline=201851235")</f>
        <v>ICTVonline=201851235</v>
      </c>
      <c r="AA3366" s="1">
        <v>201850000</v>
      </c>
      <c r="AB3366" s="1">
        <v>34</v>
      </c>
    </row>
    <row r="3367" spans="1:28" x14ac:dyDescent="0.15">
      <c r="A3367" s="1">
        <v>8603</v>
      </c>
      <c r="J3367" s="1" t="s">
        <v>1332</v>
      </c>
      <c r="L3367" s="1" t="s">
        <v>901</v>
      </c>
      <c r="N3367" s="1" t="s">
        <v>6754</v>
      </c>
      <c r="P3367" s="1" t="s">
        <v>6755</v>
      </c>
      <c r="Q3367" s="3">
        <v>0</v>
      </c>
      <c r="S3367" s="23" t="s">
        <v>5949</v>
      </c>
      <c r="T3367" s="23" t="s">
        <v>4929</v>
      </c>
      <c r="U3367" s="3">
        <v>34</v>
      </c>
      <c r="V3367" s="3" t="s">
        <v>6756</v>
      </c>
      <c r="W3367" s="45" t="str">
        <f>HYPERLINK("http://ictvonline.org/taxonomy/p/taxonomy-history?taxnode_id=201856783","ICTVonline=201856783")</f>
        <v>ICTVonline=201856783</v>
      </c>
      <c r="AA3367" s="1">
        <v>201850000</v>
      </c>
      <c r="AB3367" s="1">
        <v>34</v>
      </c>
    </row>
    <row r="3368" spans="1:28" x14ac:dyDescent="0.15">
      <c r="A3368" s="1">
        <v>8605</v>
      </c>
      <c r="J3368" s="1" t="s">
        <v>1332</v>
      </c>
      <c r="L3368" s="1" t="s">
        <v>901</v>
      </c>
      <c r="N3368" s="1" t="s">
        <v>6754</v>
      </c>
      <c r="P3368" s="1" t="s">
        <v>6757</v>
      </c>
      <c r="Q3368" s="3">
        <v>0</v>
      </c>
      <c r="S3368" s="23" t="s">
        <v>5949</v>
      </c>
      <c r="T3368" s="23" t="s">
        <v>4929</v>
      </c>
      <c r="U3368" s="3">
        <v>34</v>
      </c>
      <c r="V3368" s="3" t="s">
        <v>6756</v>
      </c>
      <c r="W3368" s="45" t="str">
        <f>HYPERLINK("http://ictvonline.org/taxonomy/p/taxonomy-history?taxnode_id=201856785","ICTVonline=201856785")</f>
        <v>ICTVonline=201856785</v>
      </c>
      <c r="AA3368" s="1">
        <v>201850000</v>
      </c>
      <c r="AB3368" s="1">
        <v>34</v>
      </c>
    </row>
    <row r="3369" spans="1:28" x14ac:dyDescent="0.15">
      <c r="A3369" s="1">
        <v>8607</v>
      </c>
      <c r="J3369" s="1" t="s">
        <v>1332</v>
      </c>
      <c r="L3369" s="1" t="s">
        <v>901</v>
      </c>
      <c r="N3369" s="1" t="s">
        <v>6754</v>
      </c>
      <c r="P3369" s="1" t="s">
        <v>6758</v>
      </c>
      <c r="Q3369" s="3">
        <v>0</v>
      </c>
      <c r="S3369" s="23" t="s">
        <v>5949</v>
      </c>
      <c r="T3369" s="23" t="s">
        <v>4929</v>
      </c>
      <c r="U3369" s="3">
        <v>34</v>
      </c>
      <c r="V3369" s="3" t="s">
        <v>6756</v>
      </c>
      <c r="W3369" s="45" t="str">
        <f>HYPERLINK("http://ictvonline.org/taxonomy/p/taxonomy-history?taxnode_id=201856784","ICTVonline=201856784")</f>
        <v>ICTVonline=201856784</v>
      </c>
      <c r="AA3369" s="1">
        <v>201850000</v>
      </c>
      <c r="AB3369" s="1">
        <v>34</v>
      </c>
    </row>
    <row r="3370" spans="1:28" x14ac:dyDescent="0.15">
      <c r="A3370" s="1">
        <v>8609</v>
      </c>
      <c r="J3370" s="1" t="s">
        <v>1332</v>
      </c>
      <c r="L3370" s="1" t="s">
        <v>901</v>
      </c>
      <c r="N3370" s="1" t="s">
        <v>6754</v>
      </c>
      <c r="P3370" s="1" t="s">
        <v>6759</v>
      </c>
      <c r="Q3370" s="3">
        <v>0</v>
      </c>
      <c r="S3370" s="23" t="s">
        <v>5949</v>
      </c>
      <c r="T3370" s="23" t="s">
        <v>4929</v>
      </c>
      <c r="U3370" s="3">
        <v>34</v>
      </c>
      <c r="V3370" s="3" t="s">
        <v>6756</v>
      </c>
      <c r="W3370" s="45" t="str">
        <f>HYPERLINK("http://ictvonline.org/taxonomy/p/taxonomy-history?taxnode_id=201856782","ICTVonline=201856782")</f>
        <v>ICTVonline=201856782</v>
      </c>
      <c r="AA3370" s="1">
        <v>201850000</v>
      </c>
      <c r="AB3370" s="1">
        <v>34</v>
      </c>
    </row>
    <row r="3371" spans="1:28" x14ac:dyDescent="0.15">
      <c r="A3371" s="1">
        <v>8611</v>
      </c>
      <c r="J3371" s="1" t="s">
        <v>1332</v>
      </c>
      <c r="L3371" s="1" t="s">
        <v>901</v>
      </c>
      <c r="N3371" s="1" t="s">
        <v>6754</v>
      </c>
      <c r="P3371" s="1" t="s">
        <v>6760</v>
      </c>
      <c r="Q3371" s="3">
        <v>0</v>
      </c>
      <c r="S3371" s="23" t="s">
        <v>5949</v>
      </c>
      <c r="T3371" s="23" t="s">
        <v>4929</v>
      </c>
      <c r="U3371" s="3">
        <v>34</v>
      </c>
      <c r="V3371" s="3" t="s">
        <v>6756</v>
      </c>
      <c r="W3371" s="45" t="str">
        <f>HYPERLINK("http://ictvonline.org/taxonomy/p/taxonomy-history?taxnode_id=201856781","ICTVonline=201856781")</f>
        <v>ICTVonline=201856781</v>
      </c>
      <c r="AA3371" s="1">
        <v>201850000</v>
      </c>
      <c r="AB3371" s="1">
        <v>34</v>
      </c>
    </row>
    <row r="3372" spans="1:28" x14ac:dyDescent="0.15">
      <c r="A3372" s="1">
        <v>8613</v>
      </c>
      <c r="J3372" s="1" t="s">
        <v>1332</v>
      </c>
      <c r="L3372" s="1" t="s">
        <v>901</v>
      </c>
      <c r="N3372" s="1" t="s">
        <v>6754</v>
      </c>
      <c r="P3372" s="1" t="s">
        <v>6761</v>
      </c>
      <c r="Q3372" s="3">
        <v>1</v>
      </c>
      <c r="S3372" s="23" t="s">
        <v>5949</v>
      </c>
      <c r="T3372" s="23" t="s">
        <v>4929</v>
      </c>
      <c r="U3372" s="3">
        <v>34</v>
      </c>
      <c r="V3372" s="3" t="s">
        <v>6756</v>
      </c>
      <c r="W3372" s="45" t="str">
        <f>HYPERLINK("http://ictvonline.org/taxonomy/p/taxonomy-history?taxnode_id=201856780","ICTVonline=201856780")</f>
        <v>ICTVonline=201856780</v>
      </c>
      <c r="AA3372" s="1">
        <v>201850000</v>
      </c>
      <c r="AB3372" s="1">
        <v>34</v>
      </c>
    </row>
    <row r="3373" spans="1:28" x14ac:dyDescent="0.15">
      <c r="A3373" s="1">
        <v>8617</v>
      </c>
      <c r="J3373" s="1" t="s">
        <v>1332</v>
      </c>
      <c r="L3373" s="1" t="s">
        <v>901</v>
      </c>
      <c r="N3373" s="1" t="s">
        <v>6762</v>
      </c>
      <c r="P3373" s="1" t="s">
        <v>6763</v>
      </c>
      <c r="Q3373" s="3">
        <v>1</v>
      </c>
      <c r="S3373" s="23" t="s">
        <v>5949</v>
      </c>
      <c r="T3373" s="23" t="s">
        <v>4929</v>
      </c>
      <c r="U3373" s="3">
        <v>34</v>
      </c>
      <c r="V3373" s="3" t="s">
        <v>6764</v>
      </c>
      <c r="W3373" s="45" t="str">
        <f>HYPERLINK("http://ictvonline.org/taxonomy/p/taxonomy-history?taxnode_id=201856869","ICTVonline=201856869")</f>
        <v>ICTVonline=201856869</v>
      </c>
      <c r="AA3373" s="1">
        <v>201850000</v>
      </c>
      <c r="AB3373" s="1">
        <v>34</v>
      </c>
    </row>
    <row r="3374" spans="1:28" x14ac:dyDescent="0.15">
      <c r="A3374" s="1">
        <v>8621</v>
      </c>
      <c r="J3374" s="1" t="s">
        <v>1332</v>
      </c>
      <c r="L3374" s="1" t="s">
        <v>901</v>
      </c>
      <c r="N3374" s="1" t="s">
        <v>6765</v>
      </c>
      <c r="P3374" s="1" t="s">
        <v>6766</v>
      </c>
      <c r="Q3374" s="3">
        <v>0</v>
      </c>
      <c r="S3374" s="23" t="s">
        <v>5949</v>
      </c>
      <c r="T3374" s="23" t="s">
        <v>4929</v>
      </c>
      <c r="U3374" s="3">
        <v>34</v>
      </c>
      <c r="V3374" s="3" t="s">
        <v>6767</v>
      </c>
      <c r="W3374" s="45" t="str">
        <f>HYPERLINK("http://ictvonline.org/taxonomy/p/taxonomy-history?taxnode_id=201856884","ICTVonline=201856884")</f>
        <v>ICTVonline=201856884</v>
      </c>
      <c r="AA3374" s="1">
        <v>201850000</v>
      </c>
      <c r="AB3374" s="1">
        <v>34</v>
      </c>
    </row>
    <row r="3375" spans="1:28" x14ac:dyDescent="0.15">
      <c r="A3375" s="1">
        <v>8623</v>
      </c>
      <c r="J3375" s="1" t="s">
        <v>1332</v>
      </c>
      <c r="L3375" s="1" t="s">
        <v>901</v>
      </c>
      <c r="N3375" s="1" t="s">
        <v>6765</v>
      </c>
      <c r="P3375" s="1" t="s">
        <v>6768</v>
      </c>
      <c r="Q3375" s="3">
        <v>1</v>
      </c>
      <c r="S3375" s="23" t="s">
        <v>5949</v>
      </c>
      <c r="T3375" s="23" t="s">
        <v>4929</v>
      </c>
      <c r="U3375" s="3">
        <v>34</v>
      </c>
      <c r="V3375" s="3" t="s">
        <v>6767</v>
      </c>
      <c r="W3375" s="45" t="str">
        <f>HYPERLINK("http://ictvonline.org/taxonomy/p/taxonomy-history?taxnode_id=201856883","ICTVonline=201856883")</f>
        <v>ICTVonline=201856883</v>
      </c>
      <c r="AA3375" s="1">
        <v>201850000</v>
      </c>
      <c r="AB3375" s="1">
        <v>34</v>
      </c>
    </row>
    <row r="3376" spans="1:28" x14ac:dyDescent="0.15">
      <c r="A3376" s="1">
        <v>8627</v>
      </c>
      <c r="J3376" s="1" t="s">
        <v>1332</v>
      </c>
      <c r="L3376" s="1" t="s">
        <v>901</v>
      </c>
      <c r="N3376" s="1" t="s">
        <v>6769</v>
      </c>
      <c r="P3376" s="1" t="s">
        <v>3363</v>
      </c>
      <c r="Q3376" s="3">
        <v>0</v>
      </c>
      <c r="S3376" s="23" t="s">
        <v>5949</v>
      </c>
      <c r="T3376" s="23" t="s">
        <v>4931</v>
      </c>
      <c r="U3376" s="3">
        <v>34</v>
      </c>
      <c r="W3376" s="45" t="str">
        <f>HYPERLINK("http://ictvonline.org/taxonomy/p/taxonomy-history?taxnode_id=201851247","ICTVonline=201851247")</f>
        <v>ICTVonline=201851247</v>
      </c>
      <c r="AA3376" s="1">
        <v>201850000</v>
      </c>
      <c r="AB3376" s="1">
        <v>34</v>
      </c>
    </row>
    <row r="3377" spans="1:28" x14ac:dyDescent="0.15">
      <c r="A3377" s="1">
        <v>8629</v>
      </c>
      <c r="J3377" s="1" t="s">
        <v>1332</v>
      </c>
      <c r="L3377" s="1" t="s">
        <v>901</v>
      </c>
      <c r="N3377" s="1" t="s">
        <v>6769</v>
      </c>
      <c r="P3377" s="1" t="s">
        <v>3364</v>
      </c>
      <c r="Q3377" s="3">
        <v>0</v>
      </c>
      <c r="S3377" s="23" t="s">
        <v>5949</v>
      </c>
      <c r="T3377" s="23" t="s">
        <v>4931</v>
      </c>
      <c r="U3377" s="3">
        <v>34</v>
      </c>
      <c r="W3377" s="45" t="str">
        <f>HYPERLINK("http://ictvonline.org/taxonomy/p/taxonomy-history?taxnode_id=201851248","ICTVonline=201851248")</f>
        <v>ICTVonline=201851248</v>
      </c>
      <c r="AA3377" s="1">
        <v>201850000</v>
      </c>
      <c r="AB3377" s="1">
        <v>34</v>
      </c>
    </row>
    <row r="3378" spans="1:28" x14ac:dyDescent="0.15">
      <c r="A3378" s="1">
        <v>8631</v>
      </c>
      <c r="J3378" s="1" t="s">
        <v>1332</v>
      </c>
      <c r="L3378" s="1" t="s">
        <v>901</v>
      </c>
      <c r="N3378" s="1" t="s">
        <v>6769</v>
      </c>
      <c r="P3378" s="1" t="s">
        <v>3365</v>
      </c>
      <c r="Q3378" s="3">
        <v>1</v>
      </c>
      <c r="S3378" s="23" t="s">
        <v>5949</v>
      </c>
      <c r="T3378" s="23" t="s">
        <v>4931</v>
      </c>
      <c r="U3378" s="3">
        <v>34</v>
      </c>
      <c r="W3378" s="45" t="str">
        <f>HYPERLINK("http://ictvonline.org/taxonomy/p/taxonomy-history?taxnode_id=201851249","ICTVonline=201851249")</f>
        <v>ICTVonline=201851249</v>
      </c>
      <c r="AA3378" s="1">
        <v>201850000</v>
      </c>
      <c r="AB3378" s="1">
        <v>34</v>
      </c>
    </row>
    <row r="3379" spans="1:28" x14ac:dyDescent="0.15">
      <c r="A3379" s="1">
        <v>8633</v>
      </c>
      <c r="J3379" s="1" t="s">
        <v>1332</v>
      </c>
      <c r="L3379" s="1" t="s">
        <v>901</v>
      </c>
      <c r="N3379" s="1" t="s">
        <v>6769</v>
      </c>
      <c r="P3379" s="1" t="s">
        <v>3366</v>
      </c>
      <c r="Q3379" s="3">
        <v>0</v>
      </c>
      <c r="S3379" s="23" t="s">
        <v>5949</v>
      </c>
      <c r="T3379" s="23" t="s">
        <v>4931</v>
      </c>
      <c r="U3379" s="3">
        <v>34</v>
      </c>
      <c r="W3379" s="45" t="str">
        <f>HYPERLINK("http://ictvonline.org/taxonomy/p/taxonomy-history?taxnode_id=201851250","ICTVonline=201851250")</f>
        <v>ICTVonline=201851250</v>
      </c>
      <c r="AA3379" s="1">
        <v>201850000</v>
      </c>
      <c r="AB3379" s="1">
        <v>34</v>
      </c>
    </row>
    <row r="3380" spans="1:28" x14ac:dyDescent="0.15">
      <c r="A3380" s="1">
        <v>8635</v>
      </c>
      <c r="J3380" s="1" t="s">
        <v>1332</v>
      </c>
      <c r="L3380" s="1" t="s">
        <v>901</v>
      </c>
      <c r="N3380" s="1" t="s">
        <v>6769</v>
      </c>
      <c r="P3380" s="1" t="s">
        <v>3367</v>
      </c>
      <c r="Q3380" s="3">
        <v>0</v>
      </c>
      <c r="S3380" s="23" t="s">
        <v>5949</v>
      </c>
      <c r="T3380" s="23" t="s">
        <v>4931</v>
      </c>
      <c r="U3380" s="3">
        <v>34</v>
      </c>
      <c r="W3380" s="45" t="str">
        <f>HYPERLINK("http://ictvonline.org/taxonomy/p/taxonomy-history?taxnode_id=201851251","ICTVonline=201851251")</f>
        <v>ICTVonline=201851251</v>
      </c>
      <c r="AA3380" s="1">
        <v>201850000</v>
      </c>
      <c r="AB3380" s="1">
        <v>34</v>
      </c>
    </row>
    <row r="3381" spans="1:28" x14ac:dyDescent="0.15">
      <c r="A3381" s="1">
        <v>8639</v>
      </c>
      <c r="J3381" s="1" t="s">
        <v>1332</v>
      </c>
      <c r="L3381" s="1" t="s">
        <v>901</v>
      </c>
      <c r="N3381" s="1" t="s">
        <v>6770</v>
      </c>
      <c r="P3381" s="1" t="s">
        <v>6771</v>
      </c>
      <c r="Q3381" s="3">
        <v>1</v>
      </c>
      <c r="S3381" s="23" t="s">
        <v>5949</v>
      </c>
      <c r="T3381" s="23" t="s">
        <v>4929</v>
      </c>
      <c r="U3381" s="3">
        <v>34</v>
      </c>
      <c r="V3381" s="3" t="s">
        <v>6772</v>
      </c>
      <c r="W3381" s="45" t="str">
        <f>HYPERLINK("http://ictvonline.org/taxonomy/p/taxonomy-history?taxnode_id=201856834","ICTVonline=201856834")</f>
        <v>ICTVonline=201856834</v>
      </c>
      <c r="AA3381" s="1">
        <v>201850000</v>
      </c>
      <c r="AB3381" s="1">
        <v>34</v>
      </c>
    </row>
    <row r="3382" spans="1:28" x14ac:dyDescent="0.15">
      <c r="A3382" s="1">
        <v>8643</v>
      </c>
      <c r="J3382" s="1" t="s">
        <v>1332</v>
      </c>
      <c r="L3382" s="1" t="s">
        <v>901</v>
      </c>
      <c r="N3382" s="1" t="s">
        <v>6773</v>
      </c>
      <c r="P3382" s="1" t="s">
        <v>5091</v>
      </c>
      <c r="Q3382" s="3">
        <v>1</v>
      </c>
      <c r="S3382" s="23" t="s">
        <v>5949</v>
      </c>
      <c r="T3382" s="23" t="s">
        <v>4931</v>
      </c>
      <c r="U3382" s="3">
        <v>34</v>
      </c>
      <c r="W3382" s="45" t="str">
        <f>HYPERLINK("http://ictvonline.org/taxonomy/p/taxonomy-history?taxnode_id=201855563","ICTVonline=201855563")</f>
        <v>ICTVonline=201855563</v>
      </c>
      <c r="AA3382" s="1">
        <v>201850000</v>
      </c>
      <c r="AB3382" s="1">
        <v>34</v>
      </c>
    </row>
    <row r="3383" spans="1:28" x14ac:dyDescent="0.15">
      <c r="A3383" s="1">
        <v>8647</v>
      </c>
      <c r="J3383" s="1" t="s">
        <v>1332</v>
      </c>
      <c r="L3383" s="1" t="s">
        <v>901</v>
      </c>
      <c r="N3383" s="1" t="s">
        <v>6774</v>
      </c>
      <c r="P3383" s="1" t="s">
        <v>6775</v>
      </c>
      <c r="Q3383" s="3">
        <v>1</v>
      </c>
      <c r="S3383" s="23" t="s">
        <v>5949</v>
      </c>
      <c r="T3383" s="23" t="s">
        <v>4929</v>
      </c>
      <c r="U3383" s="3">
        <v>34</v>
      </c>
      <c r="V3383" s="3" t="s">
        <v>6776</v>
      </c>
      <c r="W3383" s="45" t="str">
        <f>HYPERLINK("http://ictvonline.org/taxonomy/p/taxonomy-history?taxnode_id=201856754","ICTVonline=201856754")</f>
        <v>ICTVonline=201856754</v>
      </c>
      <c r="AA3383" s="1">
        <v>201850000</v>
      </c>
      <c r="AB3383" s="1">
        <v>34</v>
      </c>
    </row>
    <row r="3384" spans="1:28" x14ac:dyDescent="0.15">
      <c r="A3384" s="1">
        <v>8651</v>
      </c>
      <c r="J3384" s="1" t="s">
        <v>1332</v>
      </c>
      <c r="L3384" s="1" t="s">
        <v>901</v>
      </c>
      <c r="N3384" s="1" t="s">
        <v>6777</v>
      </c>
      <c r="P3384" s="1" t="s">
        <v>3368</v>
      </c>
      <c r="Q3384" s="3">
        <v>0</v>
      </c>
      <c r="S3384" s="23" t="s">
        <v>5949</v>
      </c>
      <c r="T3384" s="23" t="s">
        <v>4931</v>
      </c>
      <c r="U3384" s="3">
        <v>34</v>
      </c>
      <c r="W3384" s="45" t="str">
        <f>HYPERLINK("http://ictvonline.org/taxonomy/p/taxonomy-history?taxnode_id=201851256","ICTVonline=201851256")</f>
        <v>ICTVonline=201851256</v>
      </c>
      <c r="AA3384" s="1">
        <v>201850000</v>
      </c>
      <c r="AB3384" s="1">
        <v>34</v>
      </c>
    </row>
    <row r="3385" spans="1:28" x14ac:dyDescent="0.15">
      <c r="A3385" s="1">
        <v>8653</v>
      </c>
      <c r="J3385" s="1" t="s">
        <v>1332</v>
      </c>
      <c r="L3385" s="1" t="s">
        <v>901</v>
      </c>
      <c r="N3385" s="1" t="s">
        <v>6777</v>
      </c>
      <c r="P3385" s="1" t="s">
        <v>3369</v>
      </c>
      <c r="Q3385" s="3">
        <v>1</v>
      </c>
      <c r="S3385" s="23" t="s">
        <v>5949</v>
      </c>
      <c r="T3385" s="23" t="s">
        <v>4931</v>
      </c>
      <c r="U3385" s="3">
        <v>34</v>
      </c>
      <c r="W3385" s="45" t="str">
        <f>HYPERLINK("http://ictvonline.org/taxonomy/p/taxonomy-history?taxnode_id=201851257","ICTVonline=201851257")</f>
        <v>ICTVonline=201851257</v>
      </c>
      <c r="AA3385" s="1">
        <v>201850000</v>
      </c>
      <c r="AB3385" s="1">
        <v>34</v>
      </c>
    </row>
    <row r="3386" spans="1:28" x14ac:dyDescent="0.15">
      <c r="A3386" s="1">
        <v>8655</v>
      </c>
      <c r="J3386" s="1" t="s">
        <v>1332</v>
      </c>
      <c r="L3386" s="1" t="s">
        <v>901</v>
      </c>
      <c r="N3386" s="1" t="s">
        <v>6777</v>
      </c>
      <c r="P3386" s="1" t="s">
        <v>3370</v>
      </c>
      <c r="Q3386" s="3">
        <v>0</v>
      </c>
      <c r="S3386" s="23" t="s">
        <v>5949</v>
      </c>
      <c r="T3386" s="23" t="s">
        <v>4931</v>
      </c>
      <c r="U3386" s="3">
        <v>34</v>
      </c>
      <c r="W3386" s="45" t="str">
        <f>HYPERLINK("http://ictvonline.org/taxonomy/p/taxonomy-history?taxnode_id=201851258","ICTVonline=201851258")</f>
        <v>ICTVonline=201851258</v>
      </c>
      <c r="AA3386" s="1">
        <v>201850000</v>
      </c>
      <c r="AB3386" s="1">
        <v>34</v>
      </c>
    </row>
    <row r="3387" spans="1:28" x14ac:dyDescent="0.15">
      <c r="A3387" s="1">
        <v>8657</v>
      </c>
      <c r="J3387" s="1" t="s">
        <v>1332</v>
      </c>
      <c r="L3387" s="1" t="s">
        <v>901</v>
      </c>
      <c r="N3387" s="1" t="s">
        <v>6777</v>
      </c>
      <c r="P3387" s="1" t="s">
        <v>3371</v>
      </c>
      <c r="Q3387" s="3">
        <v>0</v>
      </c>
      <c r="S3387" s="23" t="s">
        <v>5949</v>
      </c>
      <c r="T3387" s="23" t="s">
        <v>4931</v>
      </c>
      <c r="U3387" s="3">
        <v>34</v>
      </c>
      <c r="W3387" s="45" t="str">
        <f>HYPERLINK("http://ictvonline.org/taxonomy/p/taxonomy-history?taxnode_id=201851259","ICTVonline=201851259")</f>
        <v>ICTVonline=201851259</v>
      </c>
      <c r="AA3387" s="1">
        <v>201850000</v>
      </c>
      <c r="AB3387" s="1">
        <v>34</v>
      </c>
    </row>
    <row r="3388" spans="1:28" x14ac:dyDescent="0.15">
      <c r="A3388" s="1">
        <v>8661</v>
      </c>
      <c r="J3388" s="1" t="s">
        <v>1332</v>
      </c>
      <c r="L3388" s="1" t="s">
        <v>901</v>
      </c>
      <c r="N3388" s="1" t="s">
        <v>3372</v>
      </c>
      <c r="P3388" s="1" t="s">
        <v>3373</v>
      </c>
      <c r="Q3388" s="3">
        <v>0</v>
      </c>
      <c r="S3388" s="23" t="s">
        <v>5949</v>
      </c>
      <c r="W3388" s="45" t="str">
        <f>HYPERLINK("http://ictvonline.org/taxonomy/p/taxonomy-history?taxnode_id=201851261","ICTVonline=201851261")</f>
        <v>ICTVonline=201851261</v>
      </c>
      <c r="AA3388" s="1">
        <v>201850000</v>
      </c>
      <c r="AB3388" s="1">
        <v>34</v>
      </c>
    </row>
    <row r="3389" spans="1:28" x14ac:dyDescent="0.15">
      <c r="A3389" s="1">
        <v>8663</v>
      </c>
      <c r="J3389" s="1" t="s">
        <v>1332</v>
      </c>
      <c r="L3389" s="1" t="s">
        <v>901</v>
      </c>
      <c r="N3389" s="1" t="s">
        <v>3372</v>
      </c>
      <c r="P3389" s="1" t="s">
        <v>3374</v>
      </c>
      <c r="Q3389" s="3">
        <v>1</v>
      </c>
      <c r="S3389" s="23" t="s">
        <v>5949</v>
      </c>
      <c r="W3389" s="45" t="str">
        <f>HYPERLINK("http://ictvonline.org/taxonomy/p/taxonomy-history?taxnode_id=201851262","ICTVonline=201851262")</f>
        <v>ICTVonline=201851262</v>
      </c>
      <c r="AA3389" s="1">
        <v>201850000</v>
      </c>
      <c r="AB3389" s="1">
        <v>34</v>
      </c>
    </row>
    <row r="3390" spans="1:28" x14ac:dyDescent="0.15">
      <c r="A3390" s="1">
        <v>8667</v>
      </c>
      <c r="J3390" s="1" t="s">
        <v>1332</v>
      </c>
      <c r="L3390" s="1" t="s">
        <v>901</v>
      </c>
      <c r="N3390" s="1" t="s">
        <v>3375</v>
      </c>
      <c r="P3390" s="1" t="s">
        <v>3376</v>
      </c>
      <c r="Q3390" s="3">
        <v>0</v>
      </c>
      <c r="S3390" s="23" t="s">
        <v>5949</v>
      </c>
      <c r="W3390" s="45" t="str">
        <f>HYPERLINK("http://ictvonline.org/taxonomy/p/taxonomy-history?taxnode_id=201851264","ICTVonline=201851264")</f>
        <v>ICTVonline=201851264</v>
      </c>
      <c r="AA3390" s="1">
        <v>201850000</v>
      </c>
      <c r="AB3390" s="1">
        <v>34</v>
      </c>
    </row>
    <row r="3391" spans="1:28" x14ac:dyDescent="0.15">
      <c r="A3391" s="1">
        <v>8669</v>
      </c>
      <c r="J3391" s="1" t="s">
        <v>1332</v>
      </c>
      <c r="L3391" s="1" t="s">
        <v>901</v>
      </c>
      <c r="N3391" s="1" t="s">
        <v>3375</v>
      </c>
      <c r="P3391" s="1" t="s">
        <v>3377</v>
      </c>
      <c r="Q3391" s="3">
        <v>1</v>
      </c>
      <c r="S3391" s="23" t="s">
        <v>5949</v>
      </c>
      <c r="W3391" s="45" t="str">
        <f>HYPERLINK("http://ictvonline.org/taxonomy/p/taxonomy-history?taxnode_id=201851265","ICTVonline=201851265")</f>
        <v>ICTVonline=201851265</v>
      </c>
      <c r="AA3391" s="1">
        <v>201850000</v>
      </c>
      <c r="AB3391" s="1">
        <v>34</v>
      </c>
    </row>
    <row r="3392" spans="1:28" x14ac:dyDescent="0.15">
      <c r="A3392" s="1">
        <v>8673</v>
      </c>
      <c r="J3392" s="1" t="s">
        <v>1332</v>
      </c>
      <c r="L3392" s="1" t="s">
        <v>901</v>
      </c>
      <c r="N3392" s="1" t="s">
        <v>3388</v>
      </c>
      <c r="P3392" s="1" t="s">
        <v>3389</v>
      </c>
      <c r="Q3392" s="3">
        <v>1</v>
      </c>
      <c r="S3392" s="23" t="s">
        <v>5949</v>
      </c>
      <c r="W3392" s="45" t="str">
        <f>HYPERLINK("http://ictvonline.org/taxonomy/p/taxonomy-history?taxnode_id=201851279","ICTVonline=201851279")</f>
        <v>ICTVonline=201851279</v>
      </c>
      <c r="AA3392" s="1">
        <v>201850000</v>
      </c>
      <c r="AB3392" s="1">
        <v>34</v>
      </c>
    </row>
    <row r="3393" spans="1:28" x14ac:dyDescent="0.15">
      <c r="A3393" s="1">
        <v>8675</v>
      </c>
      <c r="J3393" s="1" t="s">
        <v>1332</v>
      </c>
      <c r="L3393" s="1" t="s">
        <v>901</v>
      </c>
      <c r="N3393" s="1" t="s">
        <v>3388</v>
      </c>
      <c r="P3393" s="1" t="s">
        <v>3390</v>
      </c>
      <c r="Q3393" s="3">
        <v>0</v>
      </c>
      <c r="S3393" s="23" t="s">
        <v>5949</v>
      </c>
      <c r="W3393" s="45" t="str">
        <f>HYPERLINK("http://ictvonline.org/taxonomy/p/taxonomy-history?taxnode_id=201851280","ICTVonline=201851280")</f>
        <v>ICTVonline=201851280</v>
      </c>
      <c r="AA3393" s="1">
        <v>201850000</v>
      </c>
      <c r="AB3393" s="1">
        <v>34</v>
      </c>
    </row>
    <row r="3394" spans="1:28" x14ac:dyDescent="0.15">
      <c r="A3394" s="1">
        <v>8677</v>
      </c>
      <c r="J3394" s="1" t="s">
        <v>1332</v>
      </c>
      <c r="L3394" s="1" t="s">
        <v>901</v>
      </c>
      <c r="N3394" s="1" t="s">
        <v>3388</v>
      </c>
      <c r="P3394" s="1" t="s">
        <v>3391</v>
      </c>
      <c r="Q3394" s="3">
        <v>0</v>
      </c>
      <c r="S3394" s="23" t="s">
        <v>5949</v>
      </c>
      <c r="W3394" s="45" t="str">
        <f>HYPERLINK("http://ictvonline.org/taxonomy/p/taxonomy-history?taxnode_id=201851281","ICTVonline=201851281")</f>
        <v>ICTVonline=201851281</v>
      </c>
      <c r="AA3394" s="1">
        <v>201850000</v>
      </c>
      <c r="AB3394" s="1">
        <v>34</v>
      </c>
    </row>
    <row r="3395" spans="1:28" x14ac:dyDescent="0.15">
      <c r="A3395" s="1">
        <v>8679</v>
      </c>
      <c r="J3395" s="1" t="s">
        <v>1332</v>
      </c>
      <c r="L3395" s="1" t="s">
        <v>901</v>
      </c>
      <c r="N3395" s="1" t="s">
        <v>3388</v>
      </c>
      <c r="P3395" s="1" t="s">
        <v>3392</v>
      </c>
      <c r="Q3395" s="3">
        <v>0</v>
      </c>
      <c r="S3395" s="23" t="s">
        <v>5949</v>
      </c>
      <c r="W3395" s="45" t="str">
        <f>HYPERLINK("http://ictvonline.org/taxonomy/p/taxonomy-history?taxnode_id=201851282","ICTVonline=201851282")</f>
        <v>ICTVonline=201851282</v>
      </c>
      <c r="AA3395" s="1">
        <v>201850000</v>
      </c>
      <c r="AB3395" s="1">
        <v>34</v>
      </c>
    </row>
    <row r="3396" spans="1:28" x14ac:dyDescent="0.15">
      <c r="A3396" s="1">
        <v>8681</v>
      </c>
      <c r="J3396" s="1" t="s">
        <v>1332</v>
      </c>
      <c r="L3396" s="1" t="s">
        <v>901</v>
      </c>
      <c r="N3396" s="1" t="s">
        <v>3388</v>
      </c>
      <c r="P3396" s="1" t="s">
        <v>3393</v>
      </c>
      <c r="Q3396" s="3">
        <v>0</v>
      </c>
      <c r="S3396" s="23" t="s">
        <v>5949</v>
      </c>
      <c r="W3396" s="45" t="str">
        <f>HYPERLINK("http://ictvonline.org/taxonomy/p/taxonomy-history?taxnode_id=201851283","ICTVonline=201851283")</f>
        <v>ICTVonline=201851283</v>
      </c>
      <c r="AA3396" s="1">
        <v>201850000</v>
      </c>
      <c r="AB3396" s="1">
        <v>34</v>
      </c>
    </row>
    <row r="3397" spans="1:28" x14ac:dyDescent="0.15">
      <c r="A3397" s="1">
        <v>8683</v>
      </c>
      <c r="J3397" s="1" t="s">
        <v>1332</v>
      </c>
      <c r="L3397" s="1" t="s">
        <v>901</v>
      </c>
      <c r="N3397" s="1" t="s">
        <v>3388</v>
      </c>
      <c r="P3397" s="1" t="s">
        <v>4483</v>
      </c>
      <c r="Q3397" s="3">
        <v>0</v>
      </c>
      <c r="S3397" s="23" t="s">
        <v>5949</v>
      </c>
      <c r="W3397" s="45" t="str">
        <f>HYPERLINK("http://ictvonline.org/taxonomy/p/taxonomy-history?taxnode_id=201851284","ICTVonline=201851284")</f>
        <v>ICTVonline=201851284</v>
      </c>
      <c r="AA3397" s="1">
        <v>201850000</v>
      </c>
      <c r="AB3397" s="1">
        <v>34</v>
      </c>
    </row>
    <row r="3398" spans="1:28" x14ac:dyDescent="0.15">
      <c r="A3398" s="1">
        <v>8687</v>
      </c>
      <c r="J3398" s="1" t="s">
        <v>1332</v>
      </c>
      <c r="L3398" s="1" t="s">
        <v>901</v>
      </c>
      <c r="N3398" s="1" t="s">
        <v>6778</v>
      </c>
      <c r="P3398" s="1" t="s">
        <v>3394</v>
      </c>
      <c r="Q3398" s="3">
        <v>0</v>
      </c>
      <c r="S3398" s="23" t="s">
        <v>5949</v>
      </c>
      <c r="T3398" s="23" t="s">
        <v>4931</v>
      </c>
      <c r="U3398" s="3">
        <v>34</v>
      </c>
      <c r="W3398" s="45" t="str">
        <f>HYPERLINK("http://ictvonline.org/taxonomy/p/taxonomy-history?taxnode_id=201851286","ICTVonline=201851286")</f>
        <v>ICTVonline=201851286</v>
      </c>
      <c r="AA3398" s="1">
        <v>201850000</v>
      </c>
      <c r="AB3398" s="1">
        <v>34</v>
      </c>
    </row>
    <row r="3399" spans="1:28" x14ac:dyDescent="0.15">
      <c r="A3399" s="1">
        <v>8689</v>
      </c>
      <c r="J3399" s="1" t="s">
        <v>1332</v>
      </c>
      <c r="L3399" s="1" t="s">
        <v>901</v>
      </c>
      <c r="N3399" s="1" t="s">
        <v>6778</v>
      </c>
      <c r="P3399" s="1" t="s">
        <v>3395</v>
      </c>
      <c r="Q3399" s="3">
        <v>0</v>
      </c>
      <c r="S3399" s="23" t="s">
        <v>5949</v>
      </c>
      <c r="T3399" s="23" t="s">
        <v>4931</v>
      </c>
      <c r="U3399" s="3">
        <v>34</v>
      </c>
      <c r="W3399" s="45" t="str">
        <f>HYPERLINK("http://ictvonline.org/taxonomy/p/taxonomy-history?taxnode_id=201851287","ICTVonline=201851287")</f>
        <v>ICTVonline=201851287</v>
      </c>
      <c r="AA3399" s="1">
        <v>201850000</v>
      </c>
      <c r="AB3399" s="1">
        <v>34</v>
      </c>
    </row>
    <row r="3400" spans="1:28" x14ac:dyDescent="0.15">
      <c r="A3400" s="1">
        <v>8691</v>
      </c>
      <c r="J3400" s="1" t="s">
        <v>1332</v>
      </c>
      <c r="L3400" s="1" t="s">
        <v>901</v>
      </c>
      <c r="N3400" s="1" t="s">
        <v>6778</v>
      </c>
      <c r="P3400" s="1" t="s">
        <v>3396</v>
      </c>
      <c r="Q3400" s="3">
        <v>0</v>
      </c>
      <c r="S3400" s="23" t="s">
        <v>5949</v>
      </c>
      <c r="T3400" s="23" t="s">
        <v>4931</v>
      </c>
      <c r="U3400" s="3">
        <v>34</v>
      </c>
      <c r="W3400" s="45" t="str">
        <f>HYPERLINK("http://ictvonline.org/taxonomy/p/taxonomy-history?taxnode_id=201851288","ICTVonline=201851288")</f>
        <v>ICTVonline=201851288</v>
      </c>
      <c r="AA3400" s="1">
        <v>201850000</v>
      </c>
      <c r="AB3400" s="1">
        <v>34</v>
      </c>
    </row>
    <row r="3401" spans="1:28" x14ac:dyDescent="0.15">
      <c r="A3401" s="1">
        <v>8693</v>
      </c>
      <c r="J3401" s="1" t="s">
        <v>1332</v>
      </c>
      <c r="L3401" s="1" t="s">
        <v>901</v>
      </c>
      <c r="N3401" s="1" t="s">
        <v>6778</v>
      </c>
      <c r="P3401" s="1" t="s">
        <v>3397</v>
      </c>
      <c r="Q3401" s="3">
        <v>0</v>
      </c>
      <c r="S3401" s="23" t="s">
        <v>5949</v>
      </c>
      <c r="T3401" s="23" t="s">
        <v>4931</v>
      </c>
      <c r="U3401" s="3">
        <v>34</v>
      </c>
      <c r="W3401" s="45" t="str">
        <f>HYPERLINK("http://ictvonline.org/taxonomy/p/taxonomy-history?taxnode_id=201851289","ICTVonline=201851289")</f>
        <v>ICTVonline=201851289</v>
      </c>
      <c r="AA3401" s="1">
        <v>201850000</v>
      </c>
      <c r="AB3401" s="1">
        <v>34</v>
      </c>
    </row>
    <row r="3402" spans="1:28" x14ac:dyDescent="0.15">
      <c r="A3402" s="1">
        <v>8695</v>
      </c>
      <c r="J3402" s="1" t="s">
        <v>1332</v>
      </c>
      <c r="L3402" s="1" t="s">
        <v>901</v>
      </c>
      <c r="N3402" s="1" t="s">
        <v>6778</v>
      </c>
      <c r="P3402" s="1" t="s">
        <v>3398</v>
      </c>
      <c r="Q3402" s="3">
        <v>0</v>
      </c>
      <c r="S3402" s="23" t="s">
        <v>5949</v>
      </c>
      <c r="T3402" s="23" t="s">
        <v>4931</v>
      </c>
      <c r="U3402" s="3">
        <v>34</v>
      </c>
      <c r="W3402" s="45" t="str">
        <f>HYPERLINK("http://ictvonline.org/taxonomy/p/taxonomy-history?taxnode_id=201851290","ICTVonline=201851290")</f>
        <v>ICTVonline=201851290</v>
      </c>
      <c r="AA3402" s="1">
        <v>201850000</v>
      </c>
      <c r="AB3402" s="1">
        <v>34</v>
      </c>
    </row>
    <row r="3403" spans="1:28" x14ac:dyDescent="0.15">
      <c r="A3403" s="1">
        <v>8697</v>
      </c>
      <c r="J3403" s="1" t="s">
        <v>1332</v>
      </c>
      <c r="L3403" s="1" t="s">
        <v>901</v>
      </c>
      <c r="N3403" s="1" t="s">
        <v>6778</v>
      </c>
      <c r="P3403" s="1" t="s">
        <v>3399</v>
      </c>
      <c r="Q3403" s="3">
        <v>0</v>
      </c>
      <c r="S3403" s="23" t="s">
        <v>5949</v>
      </c>
      <c r="T3403" s="23" t="s">
        <v>4931</v>
      </c>
      <c r="U3403" s="3">
        <v>34</v>
      </c>
      <c r="W3403" s="45" t="str">
        <f>HYPERLINK("http://ictvonline.org/taxonomy/p/taxonomy-history?taxnode_id=201851291","ICTVonline=201851291")</f>
        <v>ICTVonline=201851291</v>
      </c>
      <c r="AA3403" s="1">
        <v>201850000</v>
      </c>
      <c r="AB3403" s="1">
        <v>34</v>
      </c>
    </row>
    <row r="3404" spans="1:28" x14ac:dyDescent="0.15">
      <c r="A3404" s="1">
        <v>8699</v>
      </c>
      <c r="J3404" s="1" t="s">
        <v>1332</v>
      </c>
      <c r="L3404" s="1" t="s">
        <v>901</v>
      </c>
      <c r="N3404" s="1" t="s">
        <v>6778</v>
      </c>
      <c r="P3404" s="1" t="s">
        <v>3400</v>
      </c>
      <c r="Q3404" s="3">
        <v>0</v>
      </c>
      <c r="S3404" s="23" t="s">
        <v>5949</v>
      </c>
      <c r="T3404" s="23" t="s">
        <v>4931</v>
      </c>
      <c r="U3404" s="3">
        <v>34</v>
      </c>
      <c r="W3404" s="45" t="str">
        <f>HYPERLINK("http://ictvonline.org/taxonomy/p/taxonomy-history?taxnode_id=201851292","ICTVonline=201851292")</f>
        <v>ICTVonline=201851292</v>
      </c>
      <c r="AA3404" s="1">
        <v>201850000</v>
      </c>
      <c r="AB3404" s="1">
        <v>34</v>
      </c>
    </row>
    <row r="3405" spans="1:28" x14ac:dyDescent="0.15">
      <c r="A3405" s="1">
        <v>8701</v>
      </c>
      <c r="J3405" s="1" t="s">
        <v>1332</v>
      </c>
      <c r="L3405" s="1" t="s">
        <v>901</v>
      </c>
      <c r="N3405" s="1" t="s">
        <v>6778</v>
      </c>
      <c r="P3405" s="1" t="s">
        <v>3401</v>
      </c>
      <c r="Q3405" s="3">
        <v>0</v>
      </c>
      <c r="S3405" s="23" t="s">
        <v>5949</v>
      </c>
      <c r="T3405" s="23" t="s">
        <v>4931</v>
      </c>
      <c r="U3405" s="3">
        <v>34</v>
      </c>
      <c r="W3405" s="45" t="str">
        <f>HYPERLINK("http://ictvonline.org/taxonomy/p/taxonomy-history?taxnode_id=201851293","ICTVonline=201851293")</f>
        <v>ICTVonline=201851293</v>
      </c>
      <c r="AA3405" s="1">
        <v>201850000</v>
      </c>
      <c r="AB3405" s="1">
        <v>34</v>
      </c>
    </row>
    <row r="3406" spans="1:28" x14ac:dyDescent="0.15">
      <c r="A3406" s="1">
        <v>8703</v>
      </c>
      <c r="J3406" s="1" t="s">
        <v>1332</v>
      </c>
      <c r="L3406" s="1" t="s">
        <v>901</v>
      </c>
      <c r="N3406" s="1" t="s">
        <v>6778</v>
      </c>
      <c r="P3406" s="1" t="s">
        <v>3402</v>
      </c>
      <c r="Q3406" s="3">
        <v>0</v>
      </c>
      <c r="S3406" s="23" t="s">
        <v>5949</v>
      </c>
      <c r="T3406" s="23" t="s">
        <v>4931</v>
      </c>
      <c r="U3406" s="3">
        <v>34</v>
      </c>
      <c r="W3406" s="45" t="str">
        <f>HYPERLINK("http://ictvonline.org/taxonomy/p/taxonomy-history?taxnode_id=201851294","ICTVonline=201851294")</f>
        <v>ICTVonline=201851294</v>
      </c>
      <c r="AA3406" s="1">
        <v>201850000</v>
      </c>
      <c r="AB3406" s="1">
        <v>34</v>
      </c>
    </row>
    <row r="3407" spans="1:28" x14ac:dyDescent="0.15">
      <c r="A3407" s="1">
        <v>8705</v>
      </c>
      <c r="J3407" s="1" t="s">
        <v>1332</v>
      </c>
      <c r="L3407" s="1" t="s">
        <v>901</v>
      </c>
      <c r="N3407" s="1" t="s">
        <v>6778</v>
      </c>
      <c r="P3407" s="1" t="s">
        <v>3403</v>
      </c>
      <c r="Q3407" s="3">
        <v>0</v>
      </c>
      <c r="S3407" s="23" t="s">
        <v>5949</v>
      </c>
      <c r="T3407" s="23" t="s">
        <v>4931</v>
      </c>
      <c r="U3407" s="3">
        <v>34</v>
      </c>
      <c r="W3407" s="45" t="str">
        <f>HYPERLINK("http://ictvonline.org/taxonomy/p/taxonomy-history?taxnode_id=201851295","ICTVonline=201851295")</f>
        <v>ICTVonline=201851295</v>
      </c>
      <c r="AA3407" s="1">
        <v>201850000</v>
      </c>
      <c r="AB3407" s="1">
        <v>34</v>
      </c>
    </row>
    <row r="3408" spans="1:28" x14ac:dyDescent="0.15">
      <c r="A3408" s="1">
        <v>8707</v>
      </c>
      <c r="J3408" s="1" t="s">
        <v>1332</v>
      </c>
      <c r="L3408" s="1" t="s">
        <v>901</v>
      </c>
      <c r="N3408" s="1" t="s">
        <v>6778</v>
      </c>
      <c r="P3408" s="1" t="s">
        <v>3404</v>
      </c>
      <c r="Q3408" s="3">
        <v>0</v>
      </c>
      <c r="S3408" s="23" t="s">
        <v>5949</v>
      </c>
      <c r="T3408" s="23" t="s">
        <v>4931</v>
      </c>
      <c r="U3408" s="3">
        <v>34</v>
      </c>
      <c r="W3408" s="45" t="str">
        <f>HYPERLINK("http://ictvonline.org/taxonomy/p/taxonomy-history?taxnode_id=201851296","ICTVonline=201851296")</f>
        <v>ICTVonline=201851296</v>
      </c>
      <c r="AA3408" s="1">
        <v>201850000</v>
      </c>
      <c r="AB3408" s="1">
        <v>34</v>
      </c>
    </row>
    <row r="3409" spans="1:28" x14ac:dyDescent="0.15">
      <c r="A3409" s="1">
        <v>8709</v>
      </c>
      <c r="J3409" s="1" t="s">
        <v>1332</v>
      </c>
      <c r="L3409" s="1" t="s">
        <v>901</v>
      </c>
      <c r="N3409" s="1" t="s">
        <v>6778</v>
      </c>
      <c r="P3409" s="1" t="s">
        <v>3405</v>
      </c>
      <c r="Q3409" s="3">
        <v>0</v>
      </c>
      <c r="S3409" s="23" t="s">
        <v>5949</v>
      </c>
      <c r="T3409" s="23" t="s">
        <v>4931</v>
      </c>
      <c r="U3409" s="3">
        <v>34</v>
      </c>
      <c r="W3409" s="45" t="str">
        <f>HYPERLINK("http://ictvonline.org/taxonomy/p/taxonomy-history?taxnode_id=201851297","ICTVonline=201851297")</f>
        <v>ICTVonline=201851297</v>
      </c>
      <c r="AA3409" s="1">
        <v>201850000</v>
      </c>
      <c r="AB3409" s="1">
        <v>34</v>
      </c>
    </row>
    <row r="3410" spans="1:28" x14ac:dyDescent="0.15">
      <c r="A3410" s="1">
        <v>8711</v>
      </c>
      <c r="J3410" s="1" t="s">
        <v>1332</v>
      </c>
      <c r="L3410" s="1" t="s">
        <v>901</v>
      </c>
      <c r="N3410" s="1" t="s">
        <v>6778</v>
      </c>
      <c r="P3410" s="1" t="s">
        <v>3406</v>
      </c>
      <c r="Q3410" s="3">
        <v>0</v>
      </c>
      <c r="S3410" s="23" t="s">
        <v>5949</v>
      </c>
      <c r="T3410" s="23" t="s">
        <v>4931</v>
      </c>
      <c r="U3410" s="3">
        <v>34</v>
      </c>
      <c r="W3410" s="45" t="str">
        <f>HYPERLINK("http://ictvonline.org/taxonomy/p/taxonomy-history?taxnode_id=201851298","ICTVonline=201851298")</f>
        <v>ICTVonline=201851298</v>
      </c>
      <c r="AA3410" s="1">
        <v>201850000</v>
      </c>
      <c r="AB3410" s="1">
        <v>34</v>
      </c>
    </row>
    <row r="3411" spans="1:28" x14ac:dyDescent="0.15">
      <c r="A3411" s="1">
        <v>8713</v>
      </c>
      <c r="J3411" s="1" t="s">
        <v>1332</v>
      </c>
      <c r="L3411" s="1" t="s">
        <v>901</v>
      </c>
      <c r="N3411" s="1" t="s">
        <v>6778</v>
      </c>
      <c r="P3411" s="1" t="s">
        <v>3407</v>
      </c>
      <c r="Q3411" s="3">
        <v>0</v>
      </c>
      <c r="S3411" s="23" t="s">
        <v>5949</v>
      </c>
      <c r="T3411" s="23" t="s">
        <v>4931</v>
      </c>
      <c r="U3411" s="3">
        <v>34</v>
      </c>
      <c r="W3411" s="45" t="str">
        <f>HYPERLINK("http://ictvonline.org/taxonomy/p/taxonomy-history?taxnode_id=201851299","ICTVonline=201851299")</f>
        <v>ICTVonline=201851299</v>
      </c>
      <c r="AA3411" s="1">
        <v>201850000</v>
      </c>
      <c r="AB3411" s="1">
        <v>34</v>
      </c>
    </row>
    <row r="3412" spans="1:28" x14ac:dyDescent="0.15">
      <c r="A3412" s="1">
        <v>8715</v>
      </c>
      <c r="J3412" s="1" t="s">
        <v>1332</v>
      </c>
      <c r="L3412" s="1" t="s">
        <v>901</v>
      </c>
      <c r="N3412" s="1" t="s">
        <v>6778</v>
      </c>
      <c r="P3412" s="1" t="s">
        <v>3408</v>
      </c>
      <c r="Q3412" s="3">
        <v>0</v>
      </c>
      <c r="S3412" s="23" t="s">
        <v>5949</v>
      </c>
      <c r="T3412" s="23" t="s">
        <v>4931</v>
      </c>
      <c r="U3412" s="3">
        <v>34</v>
      </c>
      <c r="W3412" s="45" t="str">
        <f>HYPERLINK("http://ictvonline.org/taxonomy/p/taxonomy-history?taxnode_id=201851300","ICTVonline=201851300")</f>
        <v>ICTVonline=201851300</v>
      </c>
      <c r="AA3412" s="1">
        <v>201850000</v>
      </c>
      <c r="AB3412" s="1">
        <v>34</v>
      </c>
    </row>
    <row r="3413" spans="1:28" x14ac:dyDescent="0.15">
      <c r="A3413" s="1">
        <v>8717</v>
      </c>
      <c r="J3413" s="1" t="s">
        <v>1332</v>
      </c>
      <c r="L3413" s="1" t="s">
        <v>901</v>
      </c>
      <c r="N3413" s="1" t="s">
        <v>6778</v>
      </c>
      <c r="P3413" s="1" t="s">
        <v>3409</v>
      </c>
      <c r="Q3413" s="3">
        <v>1</v>
      </c>
      <c r="S3413" s="23" t="s">
        <v>5949</v>
      </c>
      <c r="T3413" s="23" t="s">
        <v>4931</v>
      </c>
      <c r="U3413" s="3">
        <v>34</v>
      </c>
      <c r="W3413" s="45" t="str">
        <f>HYPERLINK("http://ictvonline.org/taxonomy/p/taxonomy-history?taxnode_id=201851301","ICTVonline=201851301")</f>
        <v>ICTVonline=201851301</v>
      </c>
      <c r="AA3413" s="1">
        <v>201850000</v>
      </c>
      <c r="AB3413" s="1">
        <v>34</v>
      </c>
    </row>
    <row r="3414" spans="1:28" x14ac:dyDescent="0.15">
      <c r="A3414" s="1">
        <v>8719</v>
      </c>
      <c r="J3414" s="1" t="s">
        <v>1332</v>
      </c>
      <c r="L3414" s="1" t="s">
        <v>901</v>
      </c>
      <c r="N3414" s="1" t="s">
        <v>6778</v>
      </c>
      <c r="P3414" s="1" t="s">
        <v>3410</v>
      </c>
      <c r="Q3414" s="3">
        <v>0</v>
      </c>
      <c r="S3414" s="23" t="s">
        <v>5949</v>
      </c>
      <c r="T3414" s="23" t="s">
        <v>4931</v>
      </c>
      <c r="U3414" s="3">
        <v>34</v>
      </c>
      <c r="W3414" s="45" t="str">
        <f>HYPERLINK("http://ictvonline.org/taxonomy/p/taxonomy-history?taxnode_id=201851302","ICTVonline=201851302")</f>
        <v>ICTVonline=201851302</v>
      </c>
      <c r="AA3414" s="1">
        <v>201850000</v>
      </c>
      <c r="AB3414" s="1">
        <v>34</v>
      </c>
    </row>
    <row r="3415" spans="1:28" x14ac:dyDescent="0.15">
      <c r="A3415" s="1">
        <v>8723</v>
      </c>
      <c r="J3415" s="1" t="s">
        <v>1332</v>
      </c>
      <c r="L3415" s="1" t="s">
        <v>901</v>
      </c>
      <c r="N3415" s="1" t="s">
        <v>3411</v>
      </c>
      <c r="P3415" s="1" t="s">
        <v>3412</v>
      </c>
      <c r="Q3415" s="3">
        <v>1</v>
      </c>
      <c r="S3415" s="23" t="s">
        <v>5949</v>
      </c>
      <c r="W3415" s="45" t="str">
        <f>HYPERLINK("http://ictvonline.org/taxonomy/p/taxonomy-history?taxnode_id=201851304","ICTVonline=201851304")</f>
        <v>ICTVonline=201851304</v>
      </c>
      <c r="AA3415" s="1">
        <v>201850000</v>
      </c>
      <c r="AB3415" s="1">
        <v>34</v>
      </c>
    </row>
    <row r="3416" spans="1:28" x14ac:dyDescent="0.15">
      <c r="A3416" s="1">
        <v>8725</v>
      </c>
      <c r="J3416" s="1" t="s">
        <v>1332</v>
      </c>
      <c r="L3416" s="1" t="s">
        <v>901</v>
      </c>
      <c r="N3416" s="1" t="s">
        <v>3411</v>
      </c>
      <c r="P3416" s="1" t="s">
        <v>3413</v>
      </c>
      <c r="Q3416" s="3">
        <v>0</v>
      </c>
      <c r="S3416" s="23" t="s">
        <v>5949</v>
      </c>
      <c r="W3416" s="45" t="str">
        <f>HYPERLINK("http://ictvonline.org/taxonomy/p/taxonomy-history?taxnode_id=201851305","ICTVonline=201851305")</f>
        <v>ICTVonline=201851305</v>
      </c>
      <c r="AA3416" s="1">
        <v>201850000</v>
      </c>
      <c r="AB3416" s="1">
        <v>34</v>
      </c>
    </row>
    <row r="3417" spans="1:28" x14ac:dyDescent="0.15">
      <c r="A3417" s="1">
        <v>8727</v>
      </c>
      <c r="J3417" s="1" t="s">
        <v>1332</v>
      </c>
      <c r="L3417" s="1" t="s">
        <v>901</v>
      </c>
      <c r="N3417" s="1" t="s">
        <v>3411</v>
      </c>
      <c r="P3417" s="1" t="s">
        <v>3414</v>
      </c>
      <c r="Q3417" s="3">
        <v>0</v>
      </c>
      <c r="S3417" s="23" t="s">
        <v>5949</v>
      </c>
      <c r="W3417" s="45" t="str">
        <f>HYPERLINK("http://ictvonline.org/taxonomy/p/taxonomy-history?taxnode_id=201851306","ICTVonline=201851306")</f>
        <v>ICTVonline=201851306</v>
      </c>
      <c r="AA3417" s="1">
        <v>201850000</v>
      </c>
      <c r="AB3417" s="1">
        <v>34</v>
      </c>
    </row>
    <row r="3418" spans="1:28" x14ac:dyDescent="0.15">
      <c r="A3418" s="1">
        <v>8729</v>
      </c>
      <c r="J3418" s="1" t="s">
        <v>1332</v>
      </c>
      <c r="L3418" s="1" t="s">
        <v>901</v>
      </c>
      <c r="N3418" s="1" t="s">
        <v>3411</v>
      </c>
      <c r="P3418" s="1" t="s">
        <v>3415</v>
      </c>
      <c r="Q3418" s="3">
        <v>0</v>
      </c>
      <c r="S3418" s="23" t="s">
        <v>5949</v>
      </c>
      <c r="W3418" s="45" t="str">
        <f>HYPERLINK("http://ictvonline.org/taxonomy/p/taxonomy-history?taxnode_id=201851307","ICTVonline=201851307")</f>
        <v>ICTVonline=201851307</v>
      </c>
      <c r="AA3418" s="1">
        <v>201850000</v>
      </c>
      <c r="AB3418" s="1">
        <v>34</v>
      </c>
    </row>
    <row r="3419" spans="1:28" x14ac:dyDescent="0.15">
      <c r="A3419" s="1">
        <v>8733</v>
      </c>
      <c r="J3419" s="1" t="s">
        <v>1332</v>
      </c>
      <c r="L3419" s="1" t="s">
        <v>901</v>
      </c>
      <c r="N3419" s="1" t="s">
        <v>4484</v>
      </c>
      <c r="P3419" s="1" t="s">
        <v>4485</v>
      </c>
      <c r="Q3419" s="3">
        <v>0</v>
      </c>
      <c r="S3419" s="23" t="s">
        <v>5949</v>
      </c>
      <c r="W3419" s="45" t="str">
        <f>HYPERLINK("http://ictvonline.org/taxonomy/p/taxonomy-history?taxnode_id=201851309","ICTVonline=201851309")</f>
        <v>ICTVonline=201851309</v>
      </c>
      <c r="AA3419" s="1">
        <v>201850000</v>
      </c>
      <c r="AB3419" s="1">
        <v>34</v>
      </c>
    </row>
    <row r="3420" spans="1:28" x14ac:dyDescent="0.15">
      <c r="A3420" s="1">
        <v>8735</v>
      </c>
      <c r="J3420" s="1" t="s">
        <v>1332</v>
      </c>
      <c r="L3420" s="1" t="s">
        <v>901</v>
      </c>
      <c r="N3420" s="1" t="s">
        <v>4484</v>
      </c>
      <c r="P3420" s="1" t="s">
        <v>4486</v>
      </c>
      <c r="Q3420" s="3">
        <v>0</v>
      </c>
      <c r="S3420" s="23" t="s">
        <v>5949</v>
      </c>
      <c r="W3420" s="45" t="str">
        <f>HYPERLINK("http://ictvonline.org/taxonomy/p/taxonomy-history?taxnode_id=201851310","ICTVonline=201851310")</f>
        <v>ICTVonline=201851310</v>
      </c>
      <c r="AA3420" s="1">
        <v>201850000</v>
      </c>
      <c r="AB3420" s="1">
        <v>34</v>
      </c>
    </row>
    <row r="3421" spans="1:28" x14ac:dyDescent="0.15">
      <c r="A3421" s="1">
        <v>8737</v>
      </c>
      <c r="J3421" s="1" t="s">
        <v>1332</v>
      </c>
      <c r="L3421" s="1" t="s">
        <v>901</v>
      </c>
      <c r="N3421" s="1" t="s">
        <v>4484</v>
      </c>
      <c r="P3421" s="1" t="s">
        <v>4487</v>
      </c>
      <c r="Q3421" s="3">
        <v>0</v>
      </c>
      <c r="S3421" s="23" t="s">
        <v>5949</v>
      </c>
      <c r="W3421" s="45" t="str">
        <f>HYPERLINK("http://ictvonline.org/taxonomy/p/taxonomy-history?taxnode_id=201851311","ICTVonline=201851311")</f>
        <v>ICTVonline=201851311</v>
      </c>
      <c r="AA3421" s="1">
        <v>201850000</v>
      </c>
      <c r="AB3421" s="1">
        <v>34</v>
      </c>
    </row>
    <row r="3422" spans="1:28" x14ac:dyDescent="0.15">
      <c r="A3422" s="1">
        <v>8739</v>
      </c>
      <c r="J3422" s="1" t="s">
        <v>1332</v>
      </c>
      <c r="L3422" s="1" t="s">
        <v>901</v>
      </c>
      <c r="N3422" s="1" t="s">
        <v>4484</v>
      </c>
      <c r="P3422" s="1" t="s">
        <v>4488</v>
      </c>
      <c r="Q3422" s="3">
        <v>1</v>
      </c>
      <c r="S3422" s="23" t="s">
        <v>5949</v>
      </c>
      <c r="W3422" s="45" t="str">
        <f>HYPERLINK("http://ictvonline.org/taxonomy/p/taxonomy-history?taxnode_id=201851312","ICTVonline=201851312")</f>
        <v>ICTVonline=201851312</v>
      </c>
      <c r="AA3422" s="1">
        <v>201850000</v>
      </c>
      <c r="AB3422" s="1">
        <v>34</v>
      </c>
    </row>
    <row r="3423" spans="1:28" x14ac:dyDescent="0.15">
      <c r="A3423" s="1">
        <v>8743</v>
      </c>
      <c r="J3423" s="1" t="s">
        <v>1332</v>
      </c>
      <c r="L3423" s="1" t="s">
        <v>901</v>
      </c>
      <c r="N3423" s="1" t="s">
        <v>4489</v>
      </c>
      <c r="P3423" s="1" t="s">
        <v>4490</v>
      </c>
      <c r="Q3423" s="3">
        <v>1</v>
      </c>
      <c r="S3423" s="23" t="s">
        <v>5949</v>
      </c>
      <c r="W3423" s="45" t="str">
        <f>HYPERLINK("http://ictvonline.org/taxonomy/p/taxonomy-history?taxnode_id=201851314","ICTVonline=201851314")</f>
        <v>ICTVonline=201851314</v>
      </c>
      <c r="AA3423" s="1">
        <v>201850000</v>
      </c>
      <c r="AB3423" s="1">
        <v>34</v>
      </c>
    </row>
    <row r="3424" spans="1:28" x14ac:dyDescent="0.15">
      <c r="A3424" s="1">
        <v>8745</v>
      </c>
      <c r="J3424" s="1" t="s">
        <v>1332</v>
      </c>
      <c r="L3424" s="1" t="s">
        <v>901</v>
      </c>
      <c r="N3424" s="1" t="s">
        <v>4489</v>
      </c>
      <c r="P3424" s="1" t="s">
        <v>6779</v>
      </c>
      <c r="Q3424" s="3">
        <v>0</v>
      </c>
      <c r="S3424" s="23" t="s">
        <v>5949</v>
      </c>
      <c r="T3424" s="23" t="s">
        <v>4929</v>
      </c>
      <c r="U3424" s="3">
        <v>34</v>
      </c>
      <c r="V3424" s="3" t="s">
        <v>6780</v>
      </c>
      <c r="W3424" s="45" t="str">
        <f>HYPERLINK("http://ictvonline.org/taxonomy/p/taxonomy-history?taxnode_id=201856886","ICTVonline=201856886")</f>
        <v>ICTVonline=201856886</v>
      </c>
      <c r="AA3424" s="1">
        <v>201850000</v>
      </c>
      <c r="AB3424" s="1">
        <v>34</v>
      </c>
    </row>
    <row r="3425" spans="1:28" x14ac:dyDescent="0.15">
      <c r="A3425" s="1">
        <v>8747</v>
      </c>
      <c r="J3425" s="1" t="s">
        <v>1332</v>
      </c>
      <c r="L3425" s="1" t="s">
        <v>901</v>
      </c>
      <c r="N3425" s="1" t="s">
        <v>4489</v>
      </c>
      <c r="P3425" s="1" t="s">
        <v>6781</v>
      </c>
      <c r="Q3425" s="3">
        <v>0</v>
      </c>
      <c r="S3425" s="23" t="s">
        <v>5949</v>
      </c>
      <c r="T3425" s="23" t="s">
        <v>4929</v>
      </c>
      <c r="U3425" s="3">
        <v>34</v>
      </c>
      <c r="V3425" s="3" t="s">
        <v>6780</v>
      </c>
      <c r="W3425" s="45" t="str">
        <f>HYPERLINK("http://ictvonline.org/taxonomy/p/taxonomy-history?taxnode_id=201856885","ICTVonline=201856885")</f>
        <v>ICTVonline=201856885</v>
      </c>
      <c r="AA3425" s="1">
        <v>201850000</v>
      </c>
      <c r="AB3425" s="1">
        <v>34</v>
      </c>
    </row>
    <row r="3426" spans="1:28" x14ac:dyDescent="0.15">
      <c r="A3426" s="1">
        <v>8751</v>
      </c>
      <c r="J3426" s="1" t="s">
        <v>1332</v>
      </c>
      <c r="L3426" s="1" t="s">
        <v>901</v>
      </c>
      <c r="N3426" s="1" t="s">
        <v>6782</v>
      </c>
      <c r="P3426" s="1" t="s">
        <v>6783</v>
      </c>
      <c r="Q3426" s="3">
        <v>1</v>
      </c>
      <c r="S3426" s="23" t="s">
        <v>5949</v>
      </c>
      <c r="T3426" s="23" t="s">
        <v>4929</v>
      </c>
      <c r="U3426" s="3">
        <v>34</v>
      </c>
      <c r="V3426" s="3" t="s">
        <v>6784</v>
      </c>
      <c r="W3426" s="45" t="str">
        <f>HYPERLINK("http://ictvonline.org/taxonomy/p/taxonomy-history?taxnode_id=201856991","ICTVonline=201856991")</f>
        <v>ICTVonline=201856991</v>
      </c>
      <c r="AA3426" s="1">
        <v>201850000</v>
      </c>
      <c r="AB3426" s="1">
        <v>34</v>
      </c>
    </row>
    <row r="3427" spans="1:28" x14ac:dyDescent="0.15">
      <c r="A3427" s="1">
        <v>8755</v>
      </c>
      <c r="J3427" s="1" t="s">
        <v>1332</v>
      </c>
      <c r="L3427" s="1" t="s">
        <v>901</v>
      </c>
      <c r="N3427" s="1" t="s">
        <v>3416</v>
      </c>
      <c r="P3427" s="1" t="s">
        <v>3417</v>
      </c>
      <c r="Q3427" s="3">
        <v>1</v>
      </c>
      <c r="S3427" s="23" t="s">
        <v>5949</v>
      </c>
      <c r="W3427" s="45" t="str">
        <f>HYPERLINK("http://ictvonline.org/taxonomy/p/taxonomy-history?taxnode_id=201851316","ICTVonline=201851316")</f>
        <v>ICTVonline=201851316</v>
      </c>
      <c r="AA3427" s="1">
        <v>201850000</v>
      </c>
      <c r="AB3427" s="1">
        <v>34</v>
      </c>
    </row>
    <row r="3428" spans="1:28" x14ac:dyDescent="0.15">
      <c r="A3428" s="1">
        <v>8759</v>
      </c>
      <c r="J3428" s="1" t="s">
        <v>1332</v>
      </c>
      <c r="L3428" s="1" t="s">
        <v>901</v>
      </c>
      <c r="N3428" s="1" t="s">
        <v>6785</v>
      </c>
      <c r="P3428" s="1" t="s">
        <v>3198</v>
      </c>
      <c r="Q3428" s="3">
        <v>0</v>
      </c>
      <c r="S3428" s="23" t="s">
        <v>5949</v>
      </c>
      <c r="T3428" s="23" t="s">
        <v>4931</v>
      </c>
      <c r="U3428" s="3">
        <v>34</v>
      </c>
      <c r="W3428" s="45" t="str">
        <f>HYPERLINK("http://ictvonline.org/taxonomy/p/taxonomy-history?taxnode_id=201850963","ICTVonline=201850963")</f>
        <v>ICTVonline=201850963</v>
      </c>
      <c r="AA3428" s="1">
        <v>201850000</v>
      </c>
      <c r="AB3428" s="1">
        <v>34</v>
      </c>
    </row>
    <row r="3429" spans="1:28" x14ac:dyDescent="0.15">
      <c r="A3429" s="1">
        <v>8761</v>
      </c>
      <c r="J3429" s="1" t="s">
        <v>1332</v>
      </c>
      <c r="L3429" s="1" t="s">
        <v>901</v>
      </c>
      <c r="N3429" s="1" t="s">
        <v>6785</v>
      </c>
      <c r="P3429" s="1" t="s">
        <v>3199</v>
      </c>
      <c r="Q3429" s="3">
        <v>0</v>
      </c>
      <c r="S3429" s="23" t="s">
        <v>5949</v>
      </c>
      <c r="T3429" s="23" t="s">
        <v>4931</v>
      </c>
      <c r="U3429" s="3">
        <v>34</v>
      </c>
      <c r="W3429" s="45" t="str">
        <f>HYPERLINK("http://ictvonline.org/taxonomy/p/taxonomy-history?taxnode_id=201850964","ICTVonline=201850964")</f>
        <v>ICTVonline=201850964</v>
      </c>
      <c r="AA3429" s="1">
        <v>201850000</v>
      </c>
      <c r="AB3429" s="1">
        <v>34</v>
      </c>
    </row>
    <row r="3430" spans="1:28" x14ac:dyDescent="0.15">
      <c r="A3430" s="1">
        <v>8763</v>
      </c>
      <c r="J3430" s="1" t="s">
        <v>1332</v>
      </c>
      <c r="L3430" s="1" t="s">
        <v>901</v>
      </c>
      <c r="N3430" s="1" t="s">
        <v>6785</v>
      </c>
      <c r="P3430" s="1" t="s">
        <v>3200</v>
      </c>
      <c r="Q3430" s="3">
        <v>1</v>
      </c>
      <c r="S3430" s="23" t="s">
        <v>5949</v>
      </c>
      <c r="T3430" s="23" t="s">
        <v>4931</v>
      </c>
      <c r="U3430" s="3">
        <v>34</v>
      </c>
      <c r="W3430" s="45" t="str">
        <f>HYPERLINK("http://ictvonline.org/taxonomy/p/taxonomy-history?taxnode_id=201850965","ICTVonline=201850965")</f>
        <v>ICTVonline=201850965</v>
      </c>
      <c r="AA3430" s="1">
        <v>201850000</v>
      </c>
      <c r="AB3430" s="1">
        <v>34</v>
      </c>
    </row>
    <row r="3431" spans="1:28" x14ac:dyDescent="0.15">
      <c r="A3431" s="1">
        <v>8767</v>
      </c>
      <c r="J3431" s="1" t="s">
        <v>1332</v>
      </c>
      <c r="L3431" s="1" t="s">
        <v>901</v>
      </c>
      <c r="N3431" s="1" t="s">
        <v>6786</v>
      </c>
      <c r="P3431" s="1" t="s">
        <v>4388</v>
      </c>
      <c r="Q3431" s="3">
        <v>0</v>
      </c>
      <c r="S3431" s="23" t="s">
        <v>5949</v>
      </c>
      <c r="T3431" s="23" t="s">
        <v>4931</v>
      </c>
      <c r="U3431" s="3">
        <v>34</v>
      </c>
      <c r="W3431" s="45" t="str">
        <f>HYPERLINK("http://ictvonline.org/taxonomy/p/taxonomy-history?taxnode_id=201850993","ICTVonline=201850993")</f>
        <v>ICTVonline=201850993</v>
      </c>
      <c r="AA3431" s="1">
        <v>201850000</v>
      </c>
      <c r="AB3431" s="1">
        <v>34</v>
      </c>
    </row>
    <row r="3432" spans="1:28" x14ac:dyDescent="0.15">
      <c r="A3432" s="1">
        <v>8769</v>
      </c>
      <c r="J3432" s="1" t="s">
        <v>1332</v>
      </c>
      <c r="L3432" s="1" t="s">
        <v>901</v>
      </c>
      <c r="N3432" s="1" t="s">
        <v>6786</v>
      </c>
      <c r="P3432" s="1" t="s">
        <v>4389</v>
      </c>
      <c r="Q3432" s="3">
        <v>1</v>
      </c>
      <c r="S3432" s="23" t="s">
        <v>5949</v>
      </c>
      <c r="T3432" s="23" t="s">
        <v>4931</v>
      </c>
      <c r="U3432" s="3">
        <v>34</v>
      </c>
      <c r="W3432" s="45" t="str">
        <f>HYPERLINK("http://ictvonline.org/taxonomy/p/taxonomy-history?taxnode_id=201850994","ICTVonline=201850994")</f>
        <v>ICTVonline=201850994</v>
      </c>
      <c r="AA3432" s="1">
        <v>201850000</v>
      </c>
      <c r="AB3432" s="1">
        <v>34</v>
      </c>
    </row>
    <row r="3433" spans="1:28" x14ac:dyDescent="0.15">
      <c r="A3433" s="1">
        <v>8773</v>
      </c>
      <c r="J3433" s="1" t="s">
        <v>1332</v>
      </c>
      <c r="L3433" s="1" t="s">
        <v>901</v>
      </c>
      <c r="N3433" s="1" t="s">
        <v>6787</v>
      </c>
      <c r="P3433" s="1" t="s">
        <v>6788</v>
      </c>
      <c r="Q3433" s="3">
        <v>0</v>
      </c>
      <c r="S3433" s="23" t="s">
        <v>5949</v>
      </c>
      <c r="T3433" s="23" t="s">
        <v>4929</v>
      </c>
      <c r="U3433" s="3">
        <v>34</v>
      </c>
      <c r="V3433" s="3" t="s">
        <v>6789</v>
      </c>
      <c r="W3433" s="45" t="str">
        <f>HYPERLINK("http://ictvonline.org/taxonomy/p/taxonomy-history?taxnode_id=201857065","ICTVonline=201857065")</f>
        <v>ICTVonline=201857065</v>
      </c>
      <c r="AA3433" s="1">
        <v>201850000</v>
      </c>
      <c r="AB3433" s="1">
        <v>34</v>
      </c>
    </row>
    <row r="3434" spans="1:28" x14ac:dyDescent="0.15">
      <c r="A3434" s="1">
        <v>8775</v>
      </c>
      <c r="J3434" s="1" t="s">
        <v>1332</v>
      </c>
      <c r="L3434" s="1" t="s">
        <v>901</v>
      </c>
      <c r="N3434" s="1" t="s">
        <v>6787</v>
      </c>
      <c r="P3434" s="1" t="s">
        <v>6790</v>
      </c>
      <c r="Q3434" s="3">
        <v>1</v>
      </c>
      <c r="S3434" s="23" t="s">
        <v>5949</v>
      </c>
      <c r="T3434" s="23" t="s">
        <v>4929</v>
      </c>
      <c r="U3434" s="3">
        <v>34</v>
      </c>
      <c r="V3434" s="3" t="s">
        <v>6789</v>
      </c>
      <c r="W3434" s="45" t="str">
        <f>HYPERLINK("http://ictvonline.org/taxonomy/p/taxonomy-history?taxnode_id=201857064","ICTVonline=201857064")</f>
        <v>ICTVonline=201857064</v>
      </c>
      <c r="AA3434" s="1">
        <v>201850000</v>
      </c>
      <c r="AB3434" s="1">
        <v>34</v>
      </c>
    </row>
    <row r="3435" spans="1:28" x14ac:dyDescent="0.15">
      <c r="A3435" s="1">
        <v>8779</v>
      </c>
      <c r="J3435" s="1" t="s">
        <v>1332</v>
      </c>
      <c r="L3435" s="1" t="s">
        <v>901</v>
      </c>
      <c r="N3435" s="1" t="s">
        <v>4493</v>
      </c>
      <c r="P3435" s="1" t="s">
        <v>4494</v>
      </c>
      <c r="Q3435" s="3">
        <v>1</v>
      </c>
      <c r="S3435" s="23" t="s">
        <v>5949</v>
      </c>
      <c r="W3435" s="45" t="str">
        <f>HYPERLINK("http://ictvonline.org/taxonomy/p/taxonomy-history?taxnode_id=201851334","ICTVonline=201851334")</f>
        <v>ICTVonline=201851334</v>
      </c>
      <c r="AA3435" s="1">
        <v>201850000</v>
      </c>
      <c r="AB3435" s="1">
        <v>34</v>
      </c>
    </row>
    <row r="3436" spans="1:28" x14ac:dyDescent="0.15">
      <c r="A3436" s="1">
        <v>8783</v>
      </c>
      <c r="J3436" s="1" t="s">
        <v>1332</v>
      </c>
      <c r="L3436" s="1" t="s">
        <v>901</v>
      </c>
      <c r="N3436" s="1" t="s">
        <v>6791</v>
      </c>
      <c r="P3436" s="1" t="s">
        <v>3420</v>
      </c>
      <c r="Q3436" s="3">
        <v>0</v>
      </c>
      <c r="S3436" s="23" t="s">
        <v>5949</v>
      </c>
      <c r="T3436" s="23" t="s">
        <v>4931</v>
      </c>
      <c r="U3436" s="3">
        <v>34</v>
      </c>
      <c r="W3436" s="45" t="str">
        <f>HYPERLINK("http://ictvonline.org/taxonomy/p/taxonomy-history?taxnode_id=201851321","ICTVonline=201851321")</f>
        <v>ICTVonline=201851321</v>
      </c>
      <c r="AA3436" s="1">
        <v>201850000</v>
      </c>
      <c r="AB3436" s="1">
        <v>34</v>
      </c>
    </row>
    <row r="3437" spans="1:28" x14ac:dyDescent="0.15">
      <c r="A3437" s="1">
        <v>8785</v>
      </c>
      <c r="J3437" s="1" t="s">
        <v>1332</v>
      </c>
      <c r="L3437" s="1" t="s">
        <v>901</v>
      </c>
      <c r="N3437" s="1" t="s">
        <v>6791</v>
      </c>
      <c r="P3437" s="1" t="s">
        <v>3421</v>
      </c>
      <c r="Q3437" s="3">
        <v>0</v>
      </c>
      <c r="S3437" s="23" t="s">
        <v>5949</v>
      </c>
      <c r="T3437" s="23" t="s">
        <v>4931</v>
      </c>
      <c r="U3437" s="3">
        <v>34</v>
      </c>
      <c r="W3437" s="45" t="str">
        <f>HYPERLINK("http://ictvonline.org/taxonomy/p/taxonomy-history?taxnode_id=201851322","ICTVonline=201851322")</f>
        <v>ICTVonline=201851322</v>
      </c>
      <c r="AA3437" s="1">
        <v>201850000</v>
      </c>
      <c r="AB3437" s="1">
        <v>34</v>
      </c>
    </row>
    <row r="3438" spans="1:28" x14ac:dyDescent="0.15">
      <c r="A3438" s="1">
        <v>8787</v>
      </c>
      <c r="J3438" s="1" t="s">
        <v>1332</v>
      </c>
      <c r="L3438" s="1" t="s">
        <v>901</v>
      </c>
      <c r="N3438" s="1" t="s">
        <v>6791</v>
      </c>
      <c r="P3438" s="1" t="s">
        <v>3422</v>
      </c>
      <c r="Q3438" s="3">
        <v>0</v>
      </c>
      <c r="S3438" s="23" t="s">
        <v>5949</v>
      </c>
      <c r="T3438" s="23" t="s">
        <v>4931</v>
      </c>
      <c r="U3438" s="3">
        <v>34</v>
      </c>
      <c r="W3438" s="45" t="str">
        <f>HYPERLINK("http://ictvonline.org/taxonomy/p/taxonomy-history?taxnode_id=201851323","ICTVonline=201851323")</f>
        <v>ICTVonline=201851323</v>
      </c>
      <c r="AA3438" s="1">
        <v>201850000</v>
      </c>
      <c r="AB3438" s="1">
        <v>34</v>
      </c>
    </row>
    <row r="3439" spans="1:28" x14ac:dyDescent="0.15">
      <c r="A3439" s="1">
        <v>8789</v>
      </c>
      <c r="J3439" s="1" t="s">
        <v>1332</v>
      </c>
      <c r="L3439" s="1" t="s">
        <v>901</v>
      </c>
      <c r="N3439" s="1" t="s">
        <v>6791</v>
      </c>
      <c r="P3439" s="1" t="s">
        <v>3423</v>
      </c>
      <c r="Q3439" s="3">
        <v>0</v>
      </c>
      <c r="S3439" s="23" t="s">
        <v>5949</v>
      </c>
      <c r="T3439" s="23" t="s">
        <v>4931</v>
      </c>
      <c r="U3439" s="3">
        <v>34</v>
      </c>
      <c r="W3439" s="45" t="str">
        <f>HYPERLINK("http://ictvonline.org/taxonomy/p/taxonomy-history?taxnode_id=201851324","ICTVonline=201851324")</f>
        <v>ICTVonline=201851324</v>
      </c>
      <c r="AA3439" s="1">
        <v>201850000</v>
      </c>
      <c r="AB3439" s="1">
        <v>34</v>
      </c>
    </row>
    <row r="3440" spans="1:28" x14ac:dyDescent="0.15">
      <c r="A3440" s="1">
        <v>8791</v>
      </c>
      <c r="J3440" s="1" t="s">
        <v>1332</v>
      </c>
      <c r="L3440" s="1" t="s">
        <v>901</v>
      </c>
      <c r="N3440" s="1" t="s">
        <v>6791</v>
      </c>
      <c r="P3440" s="1" t="s">
        <v>3424</v>
      </c>
      <c r="Q3440" s="3">
        <v>0</v>
      </c>
      <c r="S3440" s="23" t="s">
        <v>5949</v>
      </c>
      <c r="T3440" s="23" t="s">
        <v>4931</v>
      </c>
      <c r="U3440" s="3">
        <v>34</v>
      </c>
      <c r="W3440" s="45" t="str">
        <f>HYPERLINK("http://ictvonline.org/taxonomy/p/taxonomy-history?taxnode_id=201851325","ICTVonline=201851325")</f>
        <v>ICTVonline=201851325</v>
      </c>
      <c r="AA3440" s="1">
        <v>201850000</v>
      </c>
      <c r="AB3440" s="1">
        <v>34</v>
      </c>
    </row>
    <row r="3441" spans="1:28" x14ac:dyDescent="0.15">
      <c r="A3441" s="1">
        <v>8793</v>
      </c>
      <c r="J3441" s="1" t="s">
        <v>1332</v>
      </c>
      <c r="L3441" s="1" t="s">
        <v>901</v>
      </c>
      <c r="N3441" s="1" t="s">
        <v>6791</v>
      </c>
      <c r="P3441" s="1" t="s">
        <v>3425</v>
      </c>
      <c r="Q3441" s="3">
        <v>0</v>
      </c>
      <c r="S3441" s="23" t="s">
        <v>5949</v>
      </c>
      <c r="T3441" s="23" t="s">
        <v>4931</v>
      </c>
      <c r="U3441" s="3">
        <v>34</v>
      </c>
      <c r="W3441" s="45" t="str">
        <f>HYPERLINK("http://ictvonline.org/taxonomy/p/taxonomy-history?taxnode_id=201851326","ICTVonline=201851326")</f>
        <v>ICTVonline=201851326</v>
      </c>
      <c r="AA3441" s="1">
        <v>201850000</v>
      </c>
      <c r="AB3441" s="1">
        <v>34</v>
      </c>
    </row>
    <row r="3442" spans="1:28" x14ac:dyDescent="0.15">
      <c r="A3442" s="1">
        <v>8795</v>
      </c>
      <c r="J3442" s="1" t="s">
        <v>1332</v>
      </c>
      <c r="L3442" s="1" t="s">
        <v>901</v>
      </c>
      <c r="N3442" s="1" t="s">
        <v>6791</v>
      </c>
      <c r="P3442" s="1" t="s">
        <v>4491</v>
      </c>
      <c r="Q3442" s="3">
        <v>0</v>
      </c>
      <c r="S3442" s="23" t="s">
        <v>5949</v>
      </c>
      <c r="T3442" s="23" t="s">
        <v>4931</v>
      </c>
      <c r="U3442" s="3">
        <v>34</v>
      </c>
      <c r="W3442" s="45" t="str">
        <f>HYPERLINK("http://ictvonline.org/taxonomy/p/taxonomy-history?taxnode_id=201851327","ICTVonline=201851327")</f>
        <v>ICTVonline=201851327</v>
      </c>
      <c r="AA3442" s="1">
        <v>201850000</v>
      </c>
      <c r="AB3442" s="1">
        <v>34</v>
      </c>
    </row>
    <row r="3443" spans="1:28" x14ac:dyDescent="0.15">
      <c r="A3443" s="1">
        <v>8797</v>
      </c>
      <c r="J3443" s="1" t="s">
        <v>1332</v>
      </c>
      <c r="L3443" s="1" t="s">
        <v>901</v>
      </c>
      <c r="N3443" s="1" t="s">
        <v>6791</v>
      </c>
      <c r="P3443" s="1" t="s">
        <v>3426</v>
      </c>
      <c r="Q3443" s="3">
        <v>1</v>
      </c>
      <c r="S3443" s="23" t="s">
        <v>5949</v>
      </c>
      <c r="T3443" s="23" t="s">
        <v>4931</v>
      </c>
      <c r="U3443" s="3">
        <v>34</v>
      </c>
      <c r="W3443" s="45" t="str">
        <f>HYPERLINK("http://ictvonline.org/taxonomy/p/taxonomy-history?taxnode_id=201851328","ICTVonline=201851328")</f>
        <v>ICTVonline=201851328</v>
      </c>
      <c r="AA3443" s="1">
        <v>201850000</v>
      </c>
      <c r="AB3443" s="1">
        <v>34</v>
      </c>
    </row>
    <row r="3444" spans="1:28" x14ac:dyDescent="0.15">
      <c r="A3444" s="1">
        <v>8799</v>
      </c>
      <c r="J3444" s="1" t="s">
        <v>1332</v>
      </c>
      <c r="L3444" s="1" t="s">
        <v>901</v>
      </c>
      <c r="N3444" s="1" t="s">
        <v>6791</v>
      </c>
      <c r="P3444" s="1" t="s">
        <v>4492</v>
      </c>
      <c r="Q3444" s="3">
        <v>0</v>
      </c>
      <c r="S3444" s="23" t="s">
        <v>5949</v>
      </c>
      <c r="T3444" s="23" t="s">
        <v>4931</v>
      </c>
      <c r="U3444" s="3">
        <v>34</v>
      </c>
      <c r="W3444" s="45" t="str">
        <f>HYPERLINK("http://ictvonline.org/taxonomy/p/taxonomy-history?taxnode_id=201851329","ICTVonline=201851329")</f>
        <v>ICTVonline=201851329</v>
      </c>
      <c r="AA3444" s="1">
        <v>201850000</v>
      </c>
      <c r="AB3444" s="1">
        <v>34</v>
      </c>
    </row>
    <row r="3445" spans="1:28" x14ac:dyDescent="0.15">
      <c r="A3445" s="1">
        <v>8801</v>
      </c>
      <c r="J3445" s="1" t="s">
        <v>1332</v>
      </c>
      <c r="L3445" s="1" t="s">
        <v>901</v>
      </c>
      <c r="N3445" s="1" t="s">
        <v>6791</v>
      </c>
      <c r="P3445" s="1" t="s">
        <v>3427</v>
      </c>
      <c r="Q3445" s="3">
        <v>0</v>
      </c>
      <c r="S3445" s="23" t="s">
        <v>5949</v>
      </c>
      <c r="T3445" s="23" t="s">
        <v>4931</v>
      </c>
      <c r="U3445" s="3">
        <v>34</v>
      </c>
      <c r="W3445" s="45" t="str">
        <f>HYPERLINK("http://ictvonline.org/taxonomy/p/taxonomy-history?taxnode_id=201851330","ICTVonline=201851330")</f>
        <v>ICTVonline=201851330</v>
      </c>
      <c r="AA3445" s="1">
        <v>201850000</v>
      </c>
      <c r="AB3445" s="1">
        <v>34</v>
      </c>
    </row>
    <row r="3446" spans="1:28" x14ac:dyDescent="0.15">
      <c r="A3446" s="1">
        <v>8803</v>
      </c>
      <c r="J3446" s="1" t="s">
        <v>1332</v>
      </c>
      <c r="L3446" s="1" t="s">
        <v>901</v>
      </c>
      <c r="N3446" s="1" t="s">
        <v>6791</v>
      </c>
      <c r="P3446" s="1" t="s">
        <v>3428</v>
      </c>
      <c r="Q3446" s="3">
        <v>0</v>
      </c>
      <c r="S3446" s="23" t="s">
        <v>5949</v>
      </c>
      <c r="T3446" s="23" t="s">
        <v>4931</v>
      </c>
      <c r="U3446" s="3">
        <v>34</v>
      </c>
      <c r="W3446" s="45" t="str">
        <f>HYPERLINK("http://ictvonline.org/taxonomy/p/taxonomy-history?taxnode_id=201851331","ICTVonline=201851331")</f>
        <v>ICTVonline=201851331</v>
      </c>
      <c r="AA3446" s="1">
        <v>201850000</v>
      </c>
      <c r="AB3446" s="1">
        <v>34</v>
      </c>
    </row>
    <row r="3447" spans="1:28" x14ac:dyDescent="0.15">
      <c r="A3447" s="1">
        <v>8805</v>
      </c>
      <c r="J3447" s="1" t="s">
        <v>1332</v>
      </c>
      <c r="L3447" s="1" t="s">
        <v>901</v>
      </c>
      <c r="N3447" s="1" t="s">
        <v>6791</v>
      </c>
      <c r="P3447" s="1" t="s">
        <v>3429</v>
      </c>
      <c r="Q3447" s="3">
        <v>0</v>
      </c>
      <c r="S3447" s="23" t="s">
        <v>5949</v>
      </c>
      <c r="T3447" s="23" t="s">
        <v>4931</v>
      </c>
      <c r="U3447" s="3">
        <v>34</v>
      </c>
      <c r="W3447" s="45" t="str">
        <f>HYPERLINK("http://ictvonline.org/taxonomy/p/taxonomy-history?taxnode_id=201851332","ICTVonline=201851332")</f>
        <v>ICTVonline=201851332</v>
      </c>
      <c r="AA3447" s="1">
        <v>201850000</v>
      </c>
      <c r="AB3447" s="1">
        <v>34</v>
      </c>
    </row>
    <row r="3448" spans="1:28" x14ac:dyDescent="0.15">
      <c r="A3448" s="1">
        <v>8809</v>
      </c>
      <c r="J3448" s="1" t="s">
        <v>1332</v>
      </c>
      <c r="L3448" s="1" t="s">
        <v>901</v>
      </c>
      <c r="N3448" s="1" t="s">
        <v>6792</v>
      </c>
      <c r="P3448" s="1" t="s">
        <v>3430</v>
      </c>
      <c r="Q3448" s="3">
        <v>0</v>
      </c>
      <c r="S3448" s="23" t="s">
        <v>5949</v>
      </c>
      <c r="T3448" s="23" t="s">
        <v>4931</v>
      </c>
      <c r="U3448" s="3">
        <v>34</v>
      </c>
      <c r="W3448" s="45" t="str">
        <f>HYPERLINK("http://ictvonline.org/taxonomy/p/taxonomy-history?taxnode_id=201851343","ICTVonline=201851343")</f>
        <v>ICTVonline=201851343</v>
      </c>
      <c r="AA3448" s="1">
        <v>201850000</v>
      </c>
      <c r="AB3448" s="1">
        <v>34</v>
      </c>
    </row>
    <row r="3449" spans="1:28" x14ac:dyDescent="0.15">
      <c r="A3449" s="1">
        <v>8811</v>
      </c>
      <c r="J3449" s="1" t="s">
        <v>1332</v>
      </c>
      <c r="L3449" s="1" t="s">
        <v>901</v>
      </c>
      <c r="N3449" s="1" t="s">
        <v>6792</v>
      </c>
      <c r="P3449" s="1" t="s">
        <v>3431</v>
      </c>
      <c r="Q3449" s="3">
        <v>0</v>
      </c>
      <c r="S3449" s="23" t="s">
        <v>5949</v>
      </c>
      <c r="T3449" s="23" t="s">
        <v>4931</v>
      </c>
      <c r="U3449" s="3">
        <v>34</v>
      </c>
      <c r="W3449" s="45" t="str">
        <f>HYPERLINK("http://ictvonline.org/taxonomy/p/taxonomy-history?taxnode_id=201851344","ICTVonline=201851344")</f>
        <v>ICTVonline=201851344</v>
      </c>
      <c r="AA3449" s="1">
        <v>201850000</v>
      </c>
      <c r="AB3449" s="1">
        <v>34</v>
      </c>
    </row>
    <row r="3450" spans="1:28" x14ac:dyDescent="0.15">
      <c r="A3450" s="1">
        <v>8813</v>
      </c>
      <c r="J3450" s="1" t="s">
        <v>1332</v>
      </c>
      <c r="L3450" s="1" t="s">
        <v>901</v>
      </c>
      <c r="N3450" s="1" t="s">
        <v>6792</v>
      </c>
      <c r="P3450" s="1" t="s">
        <v>3432</v>
      </c>
      <c r="Q3450" s="3">
        <v>0</v>
      </c>
      <c r="S3450" s="23" t="s">
        <v>5949</v>
      </c>
      <c r="T3450" s="23" t="s">
        <v>4931</v>
      </c>
      <c r="U3450" s="3">
        <v>34</v>
      </c>
      <c r="W3450" s="45" t="str">
        <f>HYPERLINK("http://ictvonline.org/taxonomy/p/taxonomy-history?taxnode_id=201851345","ICTVonline=201851345")</f>
        <v>ICTVonline=201851345</v>
      </c>
      <c r="AA3450" s="1">
        <v>201850000</v>
      </c>
      <c r="AB3450" s="1">
        <v>34</v>
      </c>
    </row>
    <row r="3451" spans="1:28" x14ac:dyDescent="0.15">
      <c r="A3451" s="1">
        <v>8815</v>
      </c>
      <c r="J3451" s="1" t="s">
        <v>1332</v>
      </c>
      <c r="L3451" s="1" t="s">
        <v>901</v>
      </c>
      <c r="N3451" s="1" t="s">
        <v>6792</v>
      </c>
      <c r="P3451" s="1" t="s">
        <v>6793</v>
      </c>
      <c r="Q3451" s="3">
        <v>0</v>
      </c>
      <c r="S3451" s="23" t="s">
        <v>5949</v>
      </c>
      <c r="T3451" s="23" t="s">
        <v>4930</v>
      </c>
      <c r="U3451" s="3">
        <v>34</v>
      </c>
      <c r="V3451" s="3" t="s">
        <v>6544</v>
      </c>
      <c r="W3451" s="45" t="str">
        <f>HYPERLINK("http://ictvonline.org/taxonomy/p/taxonomy-history?taxnode_id=201851346","ICTVonline=201851346")</f>
        <v>ICTVonline=201851346</v>
      </c>
      <c r="AA3451" s="1">
        <v>201850000</v>
      </c>
      <c r="AB3451" s="1">
        <v>34</v>
      </c>
    </row>
    <row r="3452" spans="1:28" x14ac:dyDescent="0.15">
      <c r="A3452" s="1">
        <v>8817</v>
      </c>
      <c r="J3452" s="1" t="s">
        <v>1332</v>
      </c>
      <c r="L3452" s="1" t="s">
        <v>901</v>
      </c>
      <c r="N3452" s="1" t="s">
        <v>6792</v>
      </c>
      <c r="P3452" s="1" t="s">
        <v>3433</v>
      </c>
      <c r="Q3452" s="3">
        <v>0</v>
      </c>
      <c r="S3452" s="23" t="s">
        <v>5949</v>
      </c>
      <c r="T3452" s="23" t="s">
        <v>4931</v>
      </c>
      <c r="U3452" s="3">
        <v>34</v>
      </c>
      <c r="W3452" s="45" t="str">
        <f>HYPERLINK("http://ictvonline.org/taxonomy/p/taxonomy-history?taxnode_id=201851347","ICTVonline=201851347")</f>
        <v>ICTVonline=201851347</v>
      </c>
      <c r="AA3452" s="1">
        <v>201850000</v>
      </c>
      <c r="AB3452" s="1">
        <v>34</v>
      </c>
    </row>
    <row r="3453" spans="1:28" x14ac:dyDescent="0.15">
      <c r="A3453" s="1">
        <v>8819</v>
      </c>
      <c r="J3453" s="1" t="s">
        <v>1332</v>
      </c>
      <c r="L3453" s="1" t="s">
        <v>901</v>
      </c>
      <c r="N3453" s="1" t="s">
        <v>6792</v>
      </c>
      <c r="P3453" s="1" t="s">
        <v>3434</v>
      </c>
      <c r="Q3453" s="3">
        <v>0</v>
      </c>
      <c r="S3453" s="23" t="s">
        <v>5949</v>
      </c>
      <c r="T3453" s="23" t="s">
        <v>4931</v>
      </c>
      <c r="U3453" s="3">
        <v>34</v>
      </c>
      <c r="W3453" s="45" t="str">
        <f>HYPERLINK("http://ictvonline.org/taxonomy/p/taxonomy-history?taxnode_id=201851348","ICTVonline=201851348")</f>
        <v>ICTVonline=201851348</v>
      </c>
      <c r="AA3453" s="1">
        <v>201850000</v>
      </c>
      <c r="AB3453" s="1">
        <v>34</v>
      </c>
    </row>
    <row r="3454" spans="1:28" x14ac:dyDescent="0.15">
      <c r="A3454" s="1">
        <v>8821</v>
      </c>
      <c r="J3454" s="1" t="s">
        <v>1332</v>
      </c>
      <c r="L3454" s="1" t="s">
        <v>901</v>
      </c>
      <c r="N3454" s="1" t="s">
        <v>6792</v>
      </c>
      <c r="P3454" s="1" t="s">
        <v>3435</v>
      </c>
      <c r="Q3454" s="3">
        <v>0</v>
      </c>
      <c r="S3454" s="23" t="s">
        <v>5949</v>
      </c>
      <c r="T3454" s="23" t="s">
        <v>4931</v>
      </c>
      <c r="U3454" s="3">
        <v>34</v>
      </c>
      <c r="W3454" s="45" t="str">
        <f>HYPERLINK("http://ictvonline.org/taxonomy/p/taxonomy-history?taxnode_id=201851349","ICTVonline=201851349")</f>
        <v>ICTVonline=201851349</v>
      </c>
      <c r="AA3454" s="1">
        <v>201850000</v>
      </c>
      <c r="AB3454" s="1">
        <v>34</v>
      </c>
    </row>
    <row r="3455" spans="1:28" x14ac:dyDescent="0.15">
      <c r="A3455" s="1">
        <v>8823</v>
      </c>
      <c r="J3455" s="1" t="s">
        <v>1332</v>
      </c>
      <c r="L3455" s="1" t="s">
        <v>901</v>
      </c>
      <c r="N3455" s="1" t="s">
        <v>6792</v>
      </c>
      <c r="P3455" s="1" t="s">
        <v>3436</v>
      </c>
      <c r="Q3455" s="3">
        <v>0</v>
      </c>
      <c r="S3455" s="23" t="s">
        <v>5949</v>
      </c>
      <c r="T3455" s="23" t="s">
        <v>4931</v>
      </c>
      <c r="U3455" s="3">
        <v>34</v>
      </c>
      <c r="W3455" s="45" t="str">
        <f>HYPERLINK("http://ictvonline.org/taxonomy/p/taxonomy-history?taxnode_id=201851350","ICTVonline=201851350")</f>
        <v>ICTVonline=201851350</v>
      </c>
      <c r="AA3455" s="1">
        <v>201850000</v>
      </c>
      <c r="AB3455" s="1">
        <v>34</v>
      </c>
    </row>
    <row r="3456" spans="1:28" x14ac:dyDescent="0.15">
      <c r="A3456" s="1">
        <v>8825</v>
      </c>
      <c r="J3456" s="1" t="s">
        <v>1332</v>
      </c>
      <c r="L3456" s="1" t="s">
        <v>901</v>
      </c>
      <c r="N3456" s="1" t="s">
        <v>6792</v>
      </c>
      <c r="P3456" s="1" t="s">
        <v>3437</v>
      </c>
      <c r="Q3456" s="3">
        <v>1</v>
      </c>
      <c r="S3456" s="23" t="s">
        <v>5949</v>
      </c>
      <c r="T3456" s="23" t="s">
        <v>4931</v>
      </c>
      <c r="U3456" s="3">
        <v>34</v>
      </c>
      <c r="W3456" s="45" t="str">
        <f>HYPERLINK("http://ictvonline.org/taxonomy/p/taxonomy-history?taxnode_id=201851351","ICTVonline=201851351")</f>
        <v>ICTVonline=201851351</v>
      </c>
      <c r="AA3456" s="1">
        <v>201850000</v>
      </c>
      <c r="AB3456" s="1">
        <v>34</v>
      </c>
    </row>
    <row r="3457" spans="1:28" x14ac:dyDescent="0.15">
      <c r="A3457" s="1">
        <v>8829</v>
      </c>
      <c r="J3457" s="1" t="s">
        <v>1332</v>
      </c>
      <c r="L3457" s="1" t="s">
        <v>901</v>
      </c>
      <c r="N3457" s="1" t="s">
        <v>6794</v>
      </c>
      <c r="P3457" s="1" t="s">
        <v>4495</v>
      </c>
      <c r="Q3457" s="3">
        <v>1</v>
      </c>
      <c r="S3457" s="23" t="s">
        <v>5949</v>
      </c>
      <c r="T3457" s="23" t="s">
        <v>4931</v>
      </c>
      <c r="U3457" s="3">
        <v>34</v>
      </c>
      <c r="W3457" s="45" t="str">
        <f>HYPERLINK("http://ictvonline.org/taxonomy/p/taxonomy-history?taxnode_id=201851336","ICTVonline=201851336")</f>
        <v>ICTVonline=201851336</v>
      </c>
      <c r="AA3457" s="1">
        <v>201850000</v>
      </c>
      <c r="AB3457" s="1">
        <v>34</v>
      </c>
    </row>
    <row r="3458" spans="1:28" x14ac:dyDescent="0.15">
      <c r="A3458" s="1">
        <v>8831</v>
      </c>
      <c r="J3458" s="1" t="s">
        <v>1332</v>
      </c>
      <c r="L3458" s="1" t="s">
        <v>901</v>
      </c>
      <c r="N3458" s="1" t="s">
        <v>6794</v>
      </c>
      <c r="P3458" s="1" t="s">
        <v>4496</v>
      </c>
      <c r="Q3458" s="3">
        <v>0</v>
      </c>
      <c r="S3458" s="23" t="s">
        <v>5949</v>
      </c>
      <c r="T3458" s="23" t="s">
        <v>4931</v>
      </c>
      <c r="U3458" s="3">
        <v>34</v>
      </c>
      <c r="W3458" s="45" t="str">
        <f>HYPERLINK("http://ictvonline.org/taxonomy/p/taxonomy-history?taxnode_id=201851337","ICTVonline=201851337")</f>
        <v>ICTVonline=201851337</v>
      </c>
      <c r="AA3458" s="1">
        <v>201850000</v>
      </c>
      <c r="AB3458" s="1">
        <v>34</v>
      </c>
    </row>
    <row r="3459" spans="1:28" x14ac:dyDescent="0.15">
      <c r="A3459" s="1">
        <v>8833</v>
      </c>
      <c r="J3459" s="1" t="s">
        <v>1332</v>
      </c>
      <c r="L3459" s="1" t="s">
        <v>901</v>
      </c>
      <c r="N3459" s="1" t="s">
        <v>6794</v>
      </c>
      <c r="P3459" s="1" t="s">
        <v>4497</v>
      </c>
      <c r="Q3459" s="3">
        <v>0</v>
      </c>
      <c r="S3459" s="23" t="s">
        <v>5949</v>
      </c>
      <c r="T3459" s="23" t="s">
        <v>4931</v>
      </c>
      <c r="U3459" s="3">
        <v>34</v>
      </c>
      <c r="W3459" s="45" t="str">
        <f>HYPERLINK("http://ictvonline.org/taxonomy/p/taxonomy-history?taxnode_id=201851338","ICTVonline=201851338")</f>
        <v>ICTVonline=201851338</v>
      </c>
      <c r="AA3459" s="1">
        <v>201850000</v>
      </c>
      <c r="AB3459" s="1">
        <v>34</v>
      </c>
    </row>
    <row r="3460" spans="1:28" x14ac:dyDescent="0.15">
      <c r="A3460" s="1">
        <v>8837</v>
      </c>
      <c r="J3460" s="1" t="s">
        <v>1332</v>
      </c>
      <c r="L3460" s="1" t="s">
        <v>901</v>
      </c>
      <c r="N3460" s="1" t="s">
        <v>4498</v>
      </c>
      <c r="P3460" s="1" t="s">
        <v>4499</v>
      </c>
      <c r="Q3460" s="3">
        <v>0</v>
      </c>
      <c r="S3460" s="23" t="s">
        <v>5949</v>
      </c>
      <c r="W3460" s="45" t="str">
        <f>HYPERLINK("http://ictvonline.org/taxonomy/p/taxonomy-history?taxnode_id=201851340","ICTVonline=201851340")</f>
        <v>ICTVonline=201851340</v>
      </c>
      <c r="AA3460" s="1">
        <v>201850000</v>
      </c>
      <c r="AB3460" s="1">
        <v>34</v>
      </c>
    </row>
    <row r="3461" spans="1:28" x14ac:dyDescent="0.15">
      <c r="A3461" s="1">
        <v>8839</v>
      </c>
      <c r="J3461" s="1" t="s">
        <v>1332</v>
      </c>
      <c r="L3461" s="1" t="s">
        <v>901</v>
      </c>
      <c r="N3461" s="1" t="s">
        <v>4498</v>
      </c>
      <c r="P3461" s="1" t="s">
        <v>4500</v>
      </c>
      <c r="Q3461" s="3">
        <v>1</v>
      </c>
      <c r="S3461" s="23" t="s">
        <v>5949</v>
      </c>
      <c r="W3461" s="45" t="str">
        <f>HYPERLINK("http://ictvonline.org/taxonomy/p/taxonomy-history?taxnode_id=201851341","ICTVonline=201851341")</f>
        <v>ICTVonline=201851341</v>
      </c>
      <c r="AA3461" s="1">
        <v>201850000</v>
      </c>
      <c r="AB3461" s="1">
        <v>34</v>
      </c>
    </row>
    <row r="3462" spans="1:28" x14ac:dyDescent="0.15">
      <c r="A3462" s="1">
        <v>8843</v>
      </c>
      <c r="J3462" s="1" t="s">
        <v>1332</v>
      </c>
      <c r="L3462" s="1" t="s">
        <v>901</v>
      </c>
      <c r="N3462" s="1" t="s">
        <v>6795</v>
      </c>
      <c r="P3462" s="1" t="s">
        <v>6796</v>
      </c>
      <c r="Q3462" s="3">
        <v>1</v>
      </c>
      <c r="S3462" s="23" t="s">
        <v>5949</v>
      </c>
      <c r="T3462" s="23" t="s">
        <v>4929</v>
      </c>
      <c r="U3462" s="3">
        <v>34</v>
      </c>
      <c r="V3462" s="3" t="s">
        <v>6797</v>
      </c>
      <c r="W3462" s="45" t="str">
        <f>HYPERLINK("http://ictvonline.org/taxonomy/p/taxonomy-history?taxnode_id=201856722","ICTVonline=201856722")</f>
        <v>ICTVonline=201856722</v>
      </c>
      <c r="AA3462" s="1">
        <v>201850000</v>
      </c>
      <c r="AB3462" s="1">
        <v>34</v>
      </c>
    </row>
    <row r="3463" spans="1:28" x14ac:dyDescent="0.15">
      <c r="A3463" s="1">
        <v>8847</v>
      </c>
      <c r="J3463" s="1" t="s">
        <v>1332</v>
      </c>
      <c r="L3463" s="1" t="s">
        <v>901</v>
      </c>
      <c r="N3463" s="1" t="s">
        <v>3440</v>
      </c>
      <c r="P3463" s="1" t="s">
        <v>3441</v>
      </c>
      <c r="Q3463" s="3">
        <v>0</v>
      </c>
      <c r="S3463" s="23" t="s">
        <v>5949</v>
      </c>
      <c r="W3463" s="45" t="str">
        <f>HYPERLINK("http://ictvonline.org/taxonomy/p/taxonomy-history?taxnode_id=201851356","ICTVonline=201851356")</f>
        <v>ICTVonline=201851356</v>
      </c>
      <c r="AA3463" s="1">
        <v>201850000</v>
      </c>
      <c r="AB3463" s="1">
        <v>34</v>
      </c>
    </row>
    <row r="3464" spans="1:28" x14ac:dyDescent="0.15">
      <c r="A3464" s="1">
        <v>8849</v>
      </c>
      <c r="J3464" s="1" t="s">
        <v>1332</v>
      </c>
      <c r="L3464" s="1" t="s">
        <v>901</v>
      </c>
      <c r="N3464" s="1" t="s">
        <v>3440</v>
      </c>
      <c r="P3464" s="1" t="s">
        <v>3442</v>
      </c>
      <c r="Q3464" s="3">
        <v>1</v>
      </c>
      <c r="S3464" s="23" t="s">
        <v>5949</v>
      </c>
      <c r="W3464" s="45" t="str">
        <f>HYPERLINK("http://ictvonline.org/taxonomy/p/taxonomy-history?taxnode_id=201851357","ICTVonline=201851357")</f>
        <v>ICTVonline=201851357</v>
      </c>
      <c r="AA3464" s="1">
        <v>201850000</v>
      </c>
      <c r="AB3464" s="1">
        <v>34</v>
      </c>
    </row>
    <row r="3465" spans="1:28" x14ac:dyDescent="0.15">
      <c r="A3465" s="1">
        <v>8851</v>
      </c>
      <c r="J3465" s="1" t="s">
        <v>1332</v>
      </c>
      <c r="L3465" s="1" t="s">
        <v>901</v>
      </c>
      <c r="N3465" s="1" t="s">
        <v>3440</v>
      </c>
      <c r="P3465" s="1" t="s">
        <v>3443</v>
      </c>
      <c r="Q3465" s="3">
        <v>0</v>
      </c>
      <c r="S3465" s="23" t="s">
        <v>5949</v>
      </c>
      <c r="W3465" s="45" t="str">
        <f>HYPERLINK("http://ictvonline.org/taxonomy/p/taxonomy-history?taxnode_id=201851358","ICTVonline=201851358")</f>
        <v>ICTVonline=201851358</v>
      </c>
      <c r="AA3465" s="1">
        <v>201850000</v>
      </c>
      <c r="AB3465" s="1">
        <v>34</v>
      </c>
    </row>
    <row r="3466" spans="1:28" x14ac:dyDescent="0.15">
      <c r="A3466" s="1">
        <v>8853</v>
      </c>
      <c r="J3466" s="1" t="s">
        <v>1332</v>
      </c>
      <c r="L3466" s="1" t="s">
        <v>901</v>
      </c>
      <c r="N3466" s="1" t="s">
        <v>3440</v>
      </c>
      <c r="P3466" s="1" t="s">
        <v>3444</v>
      </c>
      <c r="Q3466" s="3">
        <v>0</v>
      </c>
      <c r="S3466" s="23" t="s">
        <v>5949</v>
      </c>
      <c r="W3466" s="45" t="str">
        <f>HYPERLINK("http://ictvonline.org/taxonomy/p/taxonomy-history?taxnode_id=201851359","ICTVonline=201851359")</f>
        <v>ICTVonline=201851359</v>
      </c>
      <c r="AA3466" s="1">
        <v>201850000</v>
      </c>
      <c r="AB3466" s="1">
        <v>34</v>
      </c>
    </row>
    <row r="3467" spans="1:28" x14ac:dyDescent="0.15">
      <c r="A3467" s="1">
        <v>8855</v>
      </c>
      <c r="J3467" s="1" t="s">
        <v>1332</v>
      </c>
      <c r="L3467" s="1" t="s">
        <v>901</v>
      </c>
      <c r="N3467" s="1" t="s">
        <v>3440</v>
      </c>
      <c r="P3467" s="1" t="s">
        <v>3445</v>
      </c>
      <c r="Q3467" s="3">
        <v>0</v>
      </c>
      <c r="S3467" s="23" t="s">
        <v>5949</v>
      </c>
      <c r="W3467" s="45" t="str">
        <f>HYPERLINK("http://ictvonline.org/taxonomy/p/taxonomy-history?taxnode_id=201851360","ICTVonline=201851360")</f>
        <v>ICTVonline=201851360</v>
      </c>
      <c r="AA3467" s="1">
        <v>201850000</v>
      </c>
      <c r="AB3467" s="1">
        <v>34</v>
      </c>
    </row>
    <row r="3468" spans="1:28" x14ac:dyDescent="0.15">
      <c r="A3468" s="1">
        <v>8857</v>
      </c>
      <c r="J3468" s="1" t="s">
        <v>1332</v>
      </c>
      <c r="L3468" s="1" t="s">
        <v>901</v>
      </c>
      <c r="N3468" s="1" t="s">
        <v>3440</v>
      </c>
      <c r="P3468" s="1" t="s">
        <v>3446</v>
      </c>
      <c r="Q3468" s="3">
        <v>0</v>
      </c>
      <c r="S3468" s="23" t="s">
        <v>5949</v>
      </c>
      <c r="W3468" s="45" t="str">
        <f>HYPERLINK("http://ictvonline.org/taxonomy/p/taxonomy-history?taxnode_id=201851361","ICTVonline=201851361")</f>
        <v>ICTVonline=201851361</v>
      </c>
      <c r="AA3468" s="1">
        <v>201850000</v>
      </c>
      <c r="AB3468" s="1">
        <v>34</v>
      </c>
    </row>
    <row r="3469" spans="1:28" x14ac:dyDescent="0.15">
      <c r="A3469" s="1">
        <v>8861</v>
      </c>
      <c r="J3469" s="1" t="s">
        <v>1332</v>
      </c>
      <c r="L3469" s="1" t="s">
        <v>901</v>
      </c>
      <c r="N3469" s="1" t="s">
        <v>5092</v>
      </c>
      <c r="P3469" s="1" t="s">
        <v>5093</v>
      </c>
      <c r="Q3469" s="3">
        <v>1</v>
      </c>
      <c r="S3469" s="23" t="s">
        <v>5949</v>
      </c>
      <c r="W3469" s="45" t="str">
        <f>HYPERLINK("http://ictvonline.org/taxonomy/p/taxonomy-history?taxnode_id=201855565","ICTVonline=201855565")</f>
        <v>ICTVonline=201855565</v>
      </c>
      <c r="AA3469" s="1">
        <v>201850000</v>
      </c>
      <c r="AB3469" s="1">
        <v>34</v>
      </c>
    </row>
    <row r="3470" spans="1:28" x14ac:dyDescent="0.15">
      <c r="A3470" s="1">
        <v>8865</v>
      </c>
      <c r="J3470" s="1" t="s">
        <v>1332</v>
      </c>
      <c r="L3470" s="1" t="s">
        <v>901</v>
      </c>
      <c r="N3470" s="1" t="s">
        <v>6798</v>
      </c>
      <c r="P3470" s="1" t="s">
        <v>6799</v>
      </c>
      <c r="Q3470" s="3">
        <v>1</v>
      </c>
      <c r="S3470" s="23" t="s">
        <v>5949</v>
      </c>
      <c r="T3470" s="23" t="s">
        <v>4929</v>
      </c>
      <c r="U3470" s="3">
        <v>34</v>
      </c>
      <c r="V3470" s="3" t="s">
        <v>6800</v>
      </c>
      <c r="W3470" s="45" t="str">
        <f>HYPERLINK("http://ictvonline.org/taxonomy/p/taxonomy-history?taxnode_id=201856789","ICTVonline=201856789")</f>
        <v>ICTVonline=201856789</v>
      </c>
      <c r="AA3470" s="1">
        <v>201850000</v>
      </c>
      <c r="AB3470" s="1">
        <v>34</v>
      </c>
    </row>
    <row r="3471" spans="1:28" x14ac:dyDescent="0.15">
      <c r="A3471" s="1">
        <v>8869</v>
      </c>
      <c r="J3471" s="1" t="s">
        <v>1332</v>
      </c>
      <c r="L3471" s="1" t="s">
        <v>901</v>
      </c>
      <c r="N3471" s="1" t="s">
        <v>6801</v>
      </c>
      <c r="P3471" s="1" t="s">
        <v>6802</v>
      </c>
      <c r="Q3471" s="3">
        <v>1</v>
      </c>
      <c r="S3471" s="23" t="s">
        <v>5949</v>
      </c>
      <c r="T3471" s="23" t="s">
        <v>4929</v>
      </c>
      <c r="U3471" s="3">
        <v>34</v>
      </c>
      <c r="V3471" s="3" t="s">
        <v>6803</v>
      </c>
      <c r="W3471" s="45" t="str">
        <f>HYPERLINK("http://ictvonline.org/taxonomy/p/taxonomy-history?taxnode_id=201856895","ICTVonline=201856895")</f>
        <v>ICTVonline=201856895</v>
      </c>
      <c r="AA3471" s="1">
        <v>201850000</v>
      </c>
      <c r="AB3471" s="1">
        <v>34</v>
      </c>
    </row>
    <row r="3472" spans="1:28" x14ac:dyDescent="0.15">
      <c r="A3472" s="1">
        <v>8873</v>
      </c>
      <c r="J3472" s="1" t="s">
        <v>1332</v>
      </c>
      <c r="L3472" s="1" t="s">
        <v>901</v>
      </c>
      <c r="N3472" s="1" t="s">
        <v>6804</v>
      </c>
      <c r="P3472" s="1" t="s">
        <v>6805</v>
      </c>
      <c r="Q3472" s="3">
        <v>1</v>
      </c>
      <c r="S3472" s="23" t="s">
        <v>5949</v>
      </c>
      <c r="T3472" s="23" t="s">
        <v>4929</v>
      </c>
      <c r="U3472" s="3">
        <v>34</v>
      </c>
      <c r="V3472" s="3" t="s">
        <v>6806</v>
      </c>
      <c r="W3472" s="45" t="str">
        <f>HYPERLINK("http://ictvonline.org/taxonomy/p/taxonomy-history?taxnode_id=201857073","ICTVonline=201857073")</f>
        <v>ICTVonline=201857073</v>
      </c>
      <c r="AA3472" s="1">
        <v>201850000</v>
      </c>
      <c r="AB3472" s="1">
        <v>34</v>
      </c>
    </row>
    <row r="3473" spans="1:28" x14ac:dyDescent="0.15">
      <c r="A3473" s="1">
        <v>8875</v>
      </c>
      <c r="J3473" s="1" t="s">
        <v>1332</v>
      </c>
      <c r="L3473" s="1" t="s">
        <v>901</v>
      </c>
      <c r="N3473" s="1" t="s">
        <v>6804</v>
      </c>
      <c r="P3473" s="1" t="s">
        <v>6807</v>
      </c>
      <c r="Q3473" s="3">
        <v>0</v>
      </c>
      <c r="S3473" s="23" t="s">
        <v>5949</v>
      </c>
      <c r="T3473" s="23" t="s">
        <v>4929</v>
      </c>
      <c r="U3473" s="3">
        <v>34</v>
      </c>
      <c r="V3473" s="3" t="s">
        <v>6806</v>
      </c>
      <c r="W3473" s="45" t="str">
        <f>HYPERLINK("http://ictvonline.org/taxonomy/p/taxonomy-history?taxnode_id=201857076","ICTVonline=201857076")</f>
        <v>ICTVonline=201857076</v>
      </c>
      <c r="AA3473" s="1">
        <v>201850000</v>
      </c>
      <c r="AB3473" s="1">
        <v>34</v>
      </c>
    </row>
    <row r="3474" spans="1:28" x14ac:dyDescent="0.15">
      <c r="A3474" s="1">
        <v>8877</v>
      </c>
      <c r="J3474" s="1" t="s">
        <v>1332</v>
      </c>
      <c r="L3474" s="1" t="s">
        <v>901</v>
      </c>
      <c r="N3474" s="1" t="s">
        <v>6804</v>
      </c>
      <c r="P3474" s="1" t="s">
        <v>6808</v>
      </c>
      <c r="Q3474" s="3">
        <v>0</v>
      </c>
      <c r="S3474" s="23" t="s">
        <v>5949</v>
      </c>
      <c r="T3474" s="23" t="s">
        <v>4929</v>
      </c>
      <c r="U3474" s="3">
        <v>34</v>
      </c>
      <c r="V3474" s="3" t="s">
        <v>6806</v>
      </c>
      <c r="W3474" s="45" t="str">
        <f>HYPERLINK("http://ictvonline.org/taxonomy/p/taxonomy-history?taxnode_id=201857075","ICTVonline=201857075")</f>
        <v>ICTVonline=201857075</v>
      </c>
      <c r="AA3474" s="1">
        <v>201850000</v>
      </c>
      <c r="AB3474" s="1">
        <v>34</v>
      </c>
    </row>
    <row r="3475" spans="1:28" x14ac:dyDescent="0.15">
      <c r="A3475" s="1">
        <v>8879</v>
      </c>
      <c r="J3475" s="1" t="s">
        <v>1332</v>
      </c>
      <c r="L3475" s="1" t="s">
        <v>901</v>
      </c>
      <c r="N3475" s="1" t="s">
        <v>6804</v>
      </c>
      <c r="P3475" s="1" t="s">
        <v>6809</v>
      </c>
      <c r="Q3475" s="3">
        <v>0</v>
      </c>
      <c r="S3475" s="23" t="s">
        <v>5949</v>
      </c>
      <c r="T3475" s="23" t="s">
        <v>4929</v>
      </c>
      <c r="U3475" s="3">
        <v>34</v>
      </c>
      <c r="V3475" s="3" t="s">
        <v>6806</v>
      </c>
      <c r="W3475" s="45" t="str">
        <f>HYPERLINK("http://ictvonline.org/taxonomy/p/taxonomy-history?taxnode_id=201857074","ICTVonline=201857074")</f>
        <v>ICTVonline=201857074</v>
      </c>
      <c r="AA3475" s="1">
        <v>201850000</v>
      </c>
      <c r="AB3475" s="1">
        <v>34</v>
      </c>
    </row>
    <row r="3476" spans="1:28" x14ac:dyDescent="0.15">
      <c r="A3476" s="1">
        <v>8883</v>
      </c>
      <c r="J3476" s="1" t="s">
        <v>1332</v>
      </c>
      <c r="L3476" s="1" t="s">
        <v>901</v>
      </c>
      <c r="N3476" s="1" t="s">
        <v>4501</v>
      </c>
      <c r="P3476" s="1" t="s">
        <v>4502</v>
      </c>
      <c r="Q3476" s="3">
        <v>1</v>
      </c>
      <c r="S3476" s="23" t="s">
        <v>5949</v>
      </c>
      <c r="W3476" s="45" t="str">
        <f>HYPERLINK("http://ictvonline.org/taxonomy/p/taxonomy-history?taxnode_id=201851365","ICTVonline=201851365")</f>
        <v>ICTVonline=201851365</v>
      </c>
      <c r="AA3476" s="1">
        <v>201850000</v>
      </c>
      <c r="AB3476" s="1">
        <v>34</v>
      </c>
    </row>
    <row r="3477" spans="1:28" x14ac:dyDescent="0.15">
      <c r="A3477" s="1">
        <v>8887</v>
      </c>
      <c r="J3477" s="1" t="s">
        <v>1332</v>
      </c>
      <c r="L3477" s="1" t="s">
        <v>901</v>
      </c>
      <c r="N3477" s="1" t="s">
        <v>4503</v>
      </c>
      <c r="P3477" s="1" t="s">
        <v>4504</v>
      </c>
      <c r="Q3477" s="3">
        <v>1</v>
      </c>
      <c r="S3477" s="23" t="s">
        <v>5949</v>
      </c>
      <c r="W3477" s="45" t="str">
        <f>HYPERLINK("http://ictvonline.org/taxonomy/p/taxonomy-history?taxnode_id=201851367","ICTVonline=201851367")</f>
        <v>ICTVonline=201851367</v>
      </c>
      <c r="AA3477" s="1">
        <v>201850000</v>
      </c>
      <c r="AB3477" s="1">
        <v>34</v>
      </c>
    </row>
    <row r="3478" spans="1:28" x14ac:dyDescent="0.15">
      <c r="A3478" s="1">
        <v>8891</v>
      </c>
      <c r="J3478" s="1" t="s">
        <v>1332</v>
      </c>
      <c r="L3478" s="1" t="s">
        <v>901</v>
      </c>
      <c r="N3478" s="1" t="s">
        <v>6810</v>
      </c>
      <c r="P3478" s="1" t="s">
        <v>6811</v>
      </c>
      <c r="Q3478" s="3">
        <v>1</v>
      </c>
      <c r="S3478" s="23" t="s">
        <v>5949</v>
      </c>
      <c r="T3478" s="23" t="s">
        <v>4929</v>
      </c>
      <c r="U3478" s="3">
        <v>34</v>
      </c>
      <c r="V3478" s="3" t="s">
        <v>6812</v>
      </c>
      <c r="W3478" s="45" t="str">
        <f>HYPERLINK("http://ictvonline.org/taxonomy/p/taxonomy-history?taxnode_id=201856994","ICTVonline=201856994")</f>
        <v>ICTVonline=201856994</v>
      </c>
      <c r="AA3478" s="1">
        <v>201850000</v>
      </c>
      <c r="AB3478" s="1">
        <v>34</v>
      </c>
    </row>
    <row r="3479" spans="1:28" x14ac:dyDescent="0.15">
      <c r="A3479" s="1">
        <v>8895</v>
      </c>
      <c r="J3479" s="1" t="s">
        <v>1332</v>
      </c>
      <c r="L3479" s="1" t="s">
        <v>901</v>
      </c>
      <c r="N3479" s="1" t="s">
        <v>6813</v>
      </c>
      <c r="P3479" s="1" t="s">
        <v>6814</v>
      </c>
      <c r="Q3479" s="3">
        <v>1</v>
      </c>
      <c r="S3479" s="23" t="s">
        <v>5949</v>
      </c>
      <c r="T3479" s="23" t="s">
        <v>4929</v>
      </c>
      <c r="U3479" s="3">
        <v>34</v>
      </c>
      <c r="V3479" s="3" t="s">
        <v>6815</v>
      </c>
      <c r="W3479" s="45" t="str">
        <f>HYPERLINK("http://ictvonline.org/taxonomy/p/taxonomy-history?taxnode_id=201856756","ICTVonline=201856756")</f>
        <v>ICTVonline=201856756</v>
      </c>
      <c r="AA3479" s="1">
        <v>201850000</v>
      </c>
      <c r="AB3479" s="1">
        <v>34</v>
      </c>
    </row>
    <row r="3480" spans="1:28" x14ac:dyDescent="0.15">
      <c r="A3480" s="1">
        <v>8899</v>
      </c>
      <c r="J3480" s="1" t="s">
        <v>1332</v>
      </c>
      <c r="L3480" s="1" t="s">
        <v>901</v>
      </c>
      <c r="N3480" s="1" t="s">
        <v>6816</v>
      </c>
      <c r="P3480" s="1" t="s">
        <v>6817</v>
      </c>
      <c r="Q3480" s="3">
        <v>1</v>
      </c>
      <c r="S3480" s="23" t="s">
        <v>5949</v>
      </c>
      <c r="T3480" s="23" t="s">
        <v>4929</v>
      </c>
      <c r="U3480" s="3">
        <v>34</v>
      </c>
      <c r="V3480" s="3" t="s">
        <v>6818</v>
      </c>
      <c r="W3480" s="45" t="str">
        <f>HYPERLINK("http://ictvonline.org/taxonomy/p/taxonomy-history?taxnode_id=201856929","ICTVonline=201856929")</f>
        <v>ICTVonline=201856929</v>
      </c>
      <c r="AA3480" s="1">
        <v>201850000</v>
      </c>
      <c r="AB3480" s="1">
        <v>34</v>
      </c>
    </row>
    <row r="3481" spans="1:28" x14ac:dyDescent="0.15">
      <c r="A3481" s="1">
        <v>8901</v>
      </c>
      <c r="J3481" s="1" t="s">
        <v>1332</v>
      </c>
      <c r="L3481" s="1" t="s">
        <v>901</v>
      </c>
      <c r="N3481" s="1" t="s">
        <v>6816</v>
      </c>
      <c r="P3481" s="1" t="s">
        <v>6819</v>
      </c>
      <c r="Q3481" s="3">
        <v>0</v>
      </c>
      <c r="S3481" s="23" t="s">
        <v>5949</v>
      </c>
      <c r="T3481" s="23" t="s">
        <v>4929</v>
      </c>
      <c r="U3481" s="3">
        <v>34</v>
      </c>
      <c r="V3481" s="3" t="s">
        <v>6818</v>
      </c>
      <c r="W3481" s="45" t="str">
        <f>HYPERLINK("http://ictvonline.org/taxonomy/p/taxonomy-history?taxnode_id=201856930","ICTVonline=201856930")</f>
        <v>ICTVonline=201856930</v>
      </c>
      <c r="AA3481" s="1">
        <v>201850000</v>
      </c>
      <c r="AB3481" s="1">
        <v>34</v>
      </c>
    </row>
    <row r="3482" spans="1:28" x14ac:dyDescent="0.15">
      <c r="A3482" s="1">
        <v>8905</v>
      </c>
      <c r="J3482" s="1" t="s">
        <v>1332</v>
      </c>
      <c r="L3482" s="1" t="s">
        <v>901</v>
      </c>
      <c r="N3482" s="1" t="s">
        <v>6820</v>
      </c>
      <c r="P3482" s="1" t="s">
        <v>6821</v>
      </c>
      <c r="Q3482" s="3">
        <v>0</v>
      </c>
      <c r="S3482" s="23" t="s">
        <v>5949</v>
      </c>
      <c r="T3482" s="23" t="s">
        <v>4929</v>
      </c>
      <c r="U3482" s="3">
        <v>34</v>
      </c>
      <c r="V3482" s="3" t="s">
        <v>6822</v>
      </c>
      <c r="W3482" s="45" t="str">
        <f>HYPERLINK("http://ictvonline.org/taxonomy/p/taxonomy-history?taxnode_id=201856792","ICTVonline=201856792")</f>
        <v>ICTVonline=201856792</v>
      </c>
      <c r="AA3482" s="1">
        <v>201850000</v>
      </c>
      <c r="AB3482" s="1">
        <v>34</v>
      </c>
    </row>
    <row r="3483" spans="1:28" x14ac:dyDescent="0.15">
      <c r="A3483" s="1">
        <v>8907</v>
      </c>
      <c r="J3483" s="1" t="s">
        <v>1332</v>
      </c>
      <c r="L3483" s="1" t="s">
        <v>901</v>
      </c>
      <c r="N3483" s="1" t="s">
        <v>6820</v>
      </c>
      <c r="P3483" s="1" t="s">
        <v>6823</v>
      </c>
      <c r="Q3483" s="3">
        <v>0</v>
      </c>
      <c r="S3483" s="23" t="s">
        <v>5949</v>
      </c>
      <c r="T3483" s="23" t="s">
        <v>4929</v>
      </c>
      <c r="U3483" s="3">
        <v>34</v>
      </c>
      <c r="V3483" s="3" t="s">
        <v>6822</v>
      </c>
      <c r="W3483" s="45" t="str">
        <f>HYPERLINK("http://ictvonline.org/taxonomy/p/taxonomy-history?taxnode_id=201856793","ICTVonline=201856793")</f>
        <v>ICTVonline=201856793</v>
      </c>
      <c r="AA3483" s="1">
        <v>201850000</v>
      </c>
      <c r="AB3483" s="1">
        <v>34</v>
      </c>
    </row>
    <row r="3484" spans="1:28" x14ac:dyDescent="0.15">
      <c r="A3484" s="1">
        <v>8909</v>
      </c>
      <c r="J3484" s="1" t="s">
        <v>1332</v>
      </c>
      <c r="L3484" s="1" t="s">
        <v>901</v>
      </c>
      <c r="N3484" s="1" t="s">
        <v>6820</v>
      </c>
      <c r="P3484" s="1" t="s">
        <v>6824</v>
      </c>
      <c r="Q3484" s="3">
        <v>1</v>
      </c>
      <c r="S3484" s="23" t="s">
        <v>5949</v>
      </c>
      <c r="T3484" s="23" t="s">
        <v>4929</v>
      </c>
      <c r="U3484" s="3">
        <v>34</v>
      </c>
      <c r="V3484" s="3" t="s">
        <v>6822</v>
      </c>
      <c r="W3484" s="45" t="str">
        <f>HYPERLINK("http://ictvonline.org/taxonomy/p/taxonomy-history?taxnode_id=201856791","ICTVonline=201856791")</f>
        <v>ICTVonline=201856791</v>
      </c>
      <c r="AA3484" s="1">
        <v>201850000</v>
      </c>
      <c r="AB3484" s="1">
        <v>34</v>
      </c>
    </row>
    <row r="3485" spans="1:28" x14ac:dyDescent="0.15">
      <c r="A3485" s="1">
        <v>8913</v>
      </c>
      <c r="J3485" s="1" t="s">
        <v>1332</v>
      </c>
      <c r="L3485" s="1" t="s">
        <v>901</v>
      </c>
      <c r="N3485" s="1" t="s">
        <v>3447</v>
      </c>
      <c r="P3485" s="1" t="s">
        <v>3448</v>
      </c>
      <c r="Q3485" s="3">
        <v>1</v>
      </c>
      <c r="S3485" s="23" t="s">
        <v>5949</v>
      </c>
      <c r="W3485" s="45" t="str">
        <f>HYPERLINK("http://ictvonline.org/taxonomy/p/taxonomy-history?taxnode_id=201851369","ICTVonline=201851369")</f>
        <v>ICTVonline=201851369</v>
      </c>
      <c r="AA3485" s="1">
        <v>201850000</v>
      </c>
      <c r="AB3485" s="1">
        <v>34</v>
      </c>
    </row>
    <row r="3486" spans="1:28" x14ac:dyDescent="0.15">
      <c r="A3486" s="1">
        <v>8917</v>
      </c>
      <c r="J3486" s="1" t="s">
        <v>1332</v>
      </c>
      <c r="L3486" s="1" t="s">
        <v>901</v>
      </c>
      <c r="N3486" s="1" t="s">
        <v>6825</v>
      </c>
      <c r="P3486" s="1" t="s">
        <v>6826</v>
      </c>
      <c r="Q3486" s="3">
        <v>1</v>
      </c>
      <c r="S3486" s="23" t="s">
        <v>5949</v>
      </c>
      <c r="T3486" s="23" t="s">
        <v>4929</v>
      </c>
      <c r="U3486" s="3">
        <v>34</v>
      </c>
      <c r="V3486" s="3" t="s">
        <v>6827</v>
      </c>
      <c r="W3486" s="45" t="str">
        <f>HYPERLINK("http://ictvonline.org/taxonomy/p/taxonomy-history?taxnode_id=201856795","ICTVonline=201856795")</f>
        <v>ICTVonline=201856795</v>
      </c>
      <c r="AA3486" s="1">
        <v>201850000</v>
      </c>
      <c r="AB3486" s="1">
        <v>34</v>
      </c>
    </row>
    <row r="3487" spans="1:28" x14ac:dyDescent="0.15">
      <c r="A3487" s="1">
        <v>8921</v>
      </c>
      <c r="J3487" s="1" t="s">
        <v>1332</v>
      </c>
      <c r="L3487" s="1" t="s">
        <v>901</v>
      </c>
      <c r="N3487" s="1" t="s">
        <v>4505</v>
      </c>
      <c r="P3487" s="1" t="s">
        <v>4506</v>
      </c>
      <c r="Q3487" s="3">
        <v>1</v>
      </c>
      <c r="S3487" s="23" t="s">
        <v>5949</v>
      </c>
      <c r="W3487" s="45" t="str">
        <f>HYPERLINK("http://ictvonline.org/taxonomy/p/taxonomy-history?taxnode_id=201851371","ICTVonline=201851371")</f>
        <v>ICTVonline=201851371</v>
      </c>
      <c r="AA3487" s="1">
        <v>201850000</v>
      </c>
      <c r="AB3487" s="1">
        <v>34</v>
      </c>
    </row>
    <row r="3488" spans="1:28" x14ac:dyDescent="0.15">
      <c r="A3488" s="1">
        <v>8925</v>
      </c>
      <c r="J3488" s="1" t="s">
        <v>1332</v>
      </c>
      <c r="L3488" s="1" t="s">
        <v>901</v>
      </c>
      <c r="N3488" s="1" t="s">
        <v>6828</v>
      </c>
      <c r="P3488" s="1" t="s">
        <v>6829</v>
      </c>
      <c r="Q3488" s="3">
        <v>1</v>
      </c>
      <c r="S3488" s="23" t="s">
        <v>5949</v>
      </c>
      <c r="T3488" s="23" t="s">
        <v>4929</v>
      </c>
      <c r="U3488" s="3">
        <v>34</v>
      </c>
      <c r="V3488" s="3" t="s">
        <v>6830</v>
      </c>
      <c r="W3488" s="45" t="str">
        <f>HYPERLINK("http://ictvonline.org/taxonomy/p/taxonomy-history?taxnode_id=201856797","ICTVonline=201856797")</f>
        <v>ICTVonline=201856797</v>
      </c>
      <c r="AA3488" s="1">
        <v>201850000</v>
      </c>
      <c r="AB3488" s="1">
        <v>34</v>
      </c>
    </row>
    <row r="3489" spans="1:28" x14ac:dyDescent="0.15">
      <c r="A3489" s="1">
        <v>8929</v>
      </c>
      <c r="J3489" s="1" t="s">
        <v>1332</v>
      </c>
      <c r="L3489" s="1" t="s">
        <v>901</v>
      </c>
      <c r="N3489" s="1" t="s">
        <v>5094</v>
      </c>
      <c r="P3489" s="1" t="s">
        <v>5095</v>
      </c>
      <c r="Q3489" s="3">
        <v>0</v>
      </c>
      <c r="S3489" s="23" t="s">
        <v>5949</v>
      </c>
      <c r="W3489" s="45" t="str">
        <f>HYPERLINK("http://ictvonline.org/taxonomy/p/taxonomy-history?taxnode_id=201855567","ICTVonline=201855567")</f>
        <v>ICTVonline=201855567</v>
      </c>
      <c r="AA3489" s="1">
        <v>201850000</v>
      </c>
      <c r="AB3489" s="1">
        <v>34</v>
      </c>
    </row>
    <row r="3490" spans="1:28" x14ac:dyDescent="0.15">
      <c r="A3490" s="1">
        <v>8931</v>
      </c>
      <c r="J3490" s="1" t="s">
        <v>1332</v>
      </c>
      <c r="L3490" s="1" t="s">
        <v>901</v>
      </c>
      <c r="N3490" s="1" t="s">
        <v>5094</v>
      </c>
      <c r="P3490" s="1" t="s">
        <v>5096</v>
      </c>
      <c r="Q3490" s="3">
        <v>1</v>
      </c>
      <c r="S3490" s="23" t="s">
        <v>5949</v>
      </c>
      <c r="W3490" s="45" t="str">
        <f>HYPERLINK("http://ictvonline.org/taxonomy/p/taxonomy-history?taxnode_id=201855568","ICTVonline=201855568")</f>
        <v>ICTVonline=201855568</v>
      </c>
      <c r="AA3490" s="1">
        <v>201850000</v>
      </c>
      <c r="AB3490" s="1">
        <v>34</v>
      </c>
    </row>
    <row r="3491" spans="1:28" x14ac:dyDescent="0.15">
      <c r="A3491" s="1">
        <v>8935</v>
      </c>
      <c r="J3491" s="1" t="s">
        <v>1332</v>
      </c>
      <c r="L3491" s="1" t="s">
        <v>901</v>
      </c>
      <c r="N3491" s="1" t="s">
        <v>4507</v>
      </c>
      <c r="P3491" s="1" t="s">
        <v>4508</v>
      </c>
      <c r="Q3491" s="3">
        <v>0</v>
      </c>
      <c r="S3491" s="23" t="s">
        <v>5949</v>
      </c>
      <c r="W3491" s="45" t="str">
        <f>HYPERLINK("http://ictvonline.org/taxonomy/p/taxonomy-history?taxnode_id=201851373","ICTVonline=201851373")</f>
        <v>ICTVonline=201851373</v>
      </c>
      <c r="AA3491" s="1">
        <v>201850000</v>
      </c>
      <c r="AB3491" s="1">
        <v>34</v>
      </c>
    </row>
    <row r="3492" spans="1:28" x14ac:dyDescent="0.15">
      <c r="A3492" s="1">
        <v>8937</v>
      </c>
      <c r="J3492" s="1" t="s">
        <v>1332</v>
      </c>
      <c r="L3492" s="1" t="s">
        <v>901</v>
      </c>
      <c r="N3492" s="1" t="s">
        <v>4507</v>
      </c>
      <c r="P3492" s="1" t="s">
        <v>4509</v>
      </c>
      <c r="Q3492" s="3">
        <v>0</v>
      </c>
      <c r="S3492" s="23" t="s">
        <v>5949</v>
      </c>
      <c r="W3492" s="45" t="str">
        <f>HYPERLINK("http://ictvonline.org/taxonomy/p/taxonomy-history?taxnode_id=201851374","ICTVonline=201851374")</f>
        <v>ICTVonline=201851374</v>
      </c>
      <c r="AA3492" s="1">
        <v>201850000</v>
      </c>
      <c r="AB3492" s="1">
        <v>34</v>
      </c>
    </row>
    <row r="3493" spans="1:28" x14ac:dyDescent="0.15">
      <c r="A3493" s="1">
        <v>8939</v>
      </c>
      <c r="J3493" s="1" t="s">
        <v>1332</v>
      </c>
      <c r="L3493" s="1" t="s">
        <v>901</v>
      </c>
      <c r="N3493" s="1" t="s">
        <v>4507</v>
      </c>
      <c r="P3493" s="1" t="s">
        <v>4510</v>
      </c>
      <c r="Q3493" s="3">
        <v>1</v>
      </c>
      <c r="S3493" s="23" t="s">
        <v>5949</v>
      </c>
      <c r="W3493" s="45" t="str">
        <f>HYPERLINK("http://ictvonline.org/taxonomy/p/taxonomy-history?taxnode_id=201851375","ICTVonline=201851375")</f>
        <v>ICTVonline=201851375</v>
      </c>
      <c r="AA3493" s="1">
        <v>201850000</v>
      </c>
      <c r="AB3493" s="1">
        <v>34</v>
      </c>
    </row>
    <row r="3494" spans="1:28" x14ac:dyDescent="0.15">
      <c r="A3494" s="1">
        <v>8943</v>
      </c>
      <c r="J3494" s="1" t="s">
        <v>1332</v>
      </c>
      <c r="L3494" s="1" t="s">
        <v>901</v>
      </c>
      <c r="N3494" s="1" t="s">
        <v>6831</v>
      </c>
      <c r="P3494" s="1" t="s">
        <v>4511</v>
      </c>
      <c r="Q3494" s="3">
        <v>0</v>
      </c>
      <c r="S3494" s="23" t="s">
        <v>5949</v>
      </c>
      <c r="T3494" s="23" t="s">
        <v>4931</v>
      </c>
      <c r="U3494" s="3">
        <v>34</v>
      </c>
      <c r="W3494" s="45" t="str">
        <f>HYPERLINK("http://ictvonline.org/taxonomy/p/taxonomy-history?taxnode_id=201851383","ICTVonline=201851383")</f>
        <v>ICTVonline=201851383</v>
      </c>
      <c r="AA3494" s="1">
        <v>201850000</v>
      </c>
      <c r="AB3494" s="1">
        <v>34</v>
      </c>
    </row>
    <row r="3495" spans="1:28" x14ac:dyDescent="0.15">
      <c r="A3495" s="1">
        <v>8945</v>
      </c>
      <c r="J3495" s="1" t="s">
        <v>1332</v>
      </c>
      <c r="L3495" s="1" t="s">
        <v>901</v>
      </c>
      <c r="N3495" s="1" t="s">
        <v>6831</v>
      </c>
      <c r="P3495" s="1" t="s">
        <v>4512</v>
      </c>
      <c r="Q3495" s="3">
        <v>1</v>
      </c>
      <c r="S3495" s="23" t="s">
        <v>5949</v>
      </c>
      <c r="T3495" s="23" t="s">
        <v>4931</v>
      </c>
      <c r="U3495" s="3">
        <v>34</v>
      </c>
      <c r="W3495" s="45" t="str">
        <f>HYPERLINK("http://ictvonline.org/taxonomy/p/taxonomy-history?taxnode_id=201851384","ICTVonline=201851384")</f>
        <v>ICTVonline=201851384</v>
      </c>
      <c r="AA3495" s="1">
        <v>201850000</v>
      </c>
      <c r="AB3495" s="1">
        <v>34</v>
      </c>
    </row>
    <row r="3496" spans="1:28" x14ac:dyDescent="0.15">
      <c r="A3496" s="1">
        <v>8949</v>
      </c>
      <c r="J3496" s="1" t="s">
        <v>1332</v>
      </c>
      <c r="L3496" s="1" t="s">
        <v>901</v>
      </c>
      <c r="N3496" s="1" t="s">
        <v>6832</v>
      </c>
      <c r="P3496" s="1" t="s">
        <v>4479</v>
      </c>
      <c r="Q3496" s="3">
        <v>1</v>
      </c>
      <c r="S3496" s="23" t="s">
        <v>5949</v>
      </c>
      <c r="T3496" s="23" t="s">
        <v>4931</v>
      </c>
      <c r="U3496" s="3">
        <v>34</v>
      </c>
      <c r="W3496" s="45" t="str">
        <f>HYPERLINK("http://ictvonline.org/taxonomy/p/taxonomy-history?taxnode_id=201851242","ICTVonline=201851242")</f>
        <v>ICTVonline=201851242</v>
      </c>
      <c r="AA3496" s="1">
        <v>201850000</v>
      </c>
      <c r="AB3496" s="1">
        <v>34</v>
      </c>
    </row>
    <row r="3497" spans="1:28" x14ac:dyDescent="0.15">
      <c r="A3497" s="1">
        <v>8951</v>
      </c>
      <c r="J3497" s="1" t="s">
        <v>1332</v>
      </c>
      <c r="L3497" s="1" t="s">
        <v>901</v>
      </c>
      <c r="N3497" s="1" t="s">
        <v>6832</v>
      </c>
      <c r="P3497" s="1" t="s">
        <v>4480</v>
      </c>
      <c r="Q3497" s="3">
        <v>0</v>
      </c>
      <c r="S3497" s="23" t="s">
        <v>5949</v>
      </c>
      <c r="T3497" s="23" t="s">
        <v>4931</v>
      </c>
      <c r="U3497" s="3">
        <v>34</v>
      </c>
      <c r="W3497" s="45" t="str">
        <f>HYPERLINK("http://ictvonline.org/taxonomy/p/taxonomy-history?taxnode_id=201851243","ICTVonline=201851243")</f>
        <v>ICTVonline=201851243</v>
      </c>
      <c r="AA3497" s="1">
        <v>201850000</v>
      </c>
      <c r="AB3497" s="1">
        <v>34</v>
      </c>
    </row>
    <row r="3498" spans="1:28" x14ac:dyDescent="0.15">
      <c r="A3498" s="1">
        <v>8955</v>
      </c>
      <c r="J3498" s="1" t="s">
        <v>1332</v>
      </c>
      <c r="L3498" s="1" t="s">
        <v>901</v>
      </c>
      <c r="N3498" s="1" t="s">
        <v>6833</v>
      </c>
      <c r="P3498" s="1" t="s">
        <v>3450</v>
      </c>
      <c r="Q3498" s="3">
        <v>0</v>
      </c>
      <c r="S3498" s="23" t="s">
        <v>5949</v>
      </c>
      <c r="T3498" s="23" t="s">
        <v>4931</v>
      </c>
      <c r="U3498" s="3">
        <v>34</v>
      </c>
      <c r="W3498" s="45" t="str">
        <f>HYPERLINK("http://ictvonline.org/taxonomy/p/taxonomy-history?taxnode_id=201851378","ICTVonline=201851378")</f>
        <v>ICTVonline=201851378</v>
      </c>
      <c r="AA3498" s="1">
        <v>201850000</v>
      </c>
      <c r="AB3498" s="1">
        <v>34</v>
      </c>
    </row>
    <row r="3499" spans="1:28" x14ac:dyDescent="0.15">
      <c r="A3499" s="1">
        <v>8957</v>
      </c>
      <c r="J3499" s="1" t="s">
        <v>1332</v>
      </c>
      <c r="L3499" s="1" t="s">
        <v>901</v>
      </c>
      <c r="N3499" s="1" t="s">
        <v>6833</v>
      </c>
      <c r="P3499" s="1" t="s">
        <v>3451</v>
      </c>
      <c r="Q3499" s="3">
        <v>0</v>
      </c>
      <c r="S3499" s="23" t="s">
        <v>5949</v>
      </c>
      <c r="T3499" s="23" t="s">
        <v>4931</v>
      </c>
      <c r="U3499" s="3">
        <v>34</v>
      </c>
      <c r="W3499" s="45" t="str">
        <f>HYPERLINK("http://ictvonline.org/taxonomy/p/taxonomy-history?taxnode_id=201851380","ICTVonline=201851380")</f>
        <v>ICTVonline=201851380</v>
      </c>
      <c r="AA3499" s="1">
        <v>201850000</v>
      </c>
      <c r="AB3499" s="1">
        <v>34</v>
      </c>
    </row>
    <row r="3500" spans="1:28" x14ac:dyDescent="0.15">
      <c r="A3500" s="1">
        <v>8959</v>
      </c>
      <c r="J3500" s="1" t="s">
        <v>1332</v>
      </c>
      <c r="L3500" s="1" t="s">
        <v>901</v>
      </c>
      <c r="N3500" s="1" t="s">
        <v>6833</v>
      </c>
      <c r="P3500" s="1" t="s">
        <v>3452</v>
      </c>
      <c r="Q3500" s="3">
        <v>1</v>
      </c>
      <c r="S3500" s="23" t="s">
        <v>5949</v>
      </c>
      <c r="T3500" s="23" t="s">
        <v>4931</v>
      </c>
      <c r="U3500" s="3">
        <v>34</v>
      </c>
      <c r="W3500" s="45" t="str">
        <f>HYPERLINK("http://ictvonline.org/taxonomy/p/taxonomy-history?taxnode_id=201851381","ICTVonline=201851381")</f>
        <v>ICTVonline=201851381</v>
      </c>
      <c r="AA3500" s="1">
        <v>201850000</v>
      </c>
      <c r="AB3500" s="1">
        <v>34</v>
      </c>
    </row>
    <row r="3501" spans="1:28" x14ac:dyDescent="0.15">
      <c r="A3501" s="1">
        <v>8963</v>
      </c>
      <c r="J3501" s="1" t="s">
        <v>1332</v>
      </c>
      <c r="L3501" s="1" t="s">
        <v>901</v>
      </c>
      <c r="N3501" s="1" t="s">
        <v>3453</v>
      </c>
      <c r="P3501" s="1" t="s">
        <v>3454</v>
      </c>
      <c r="Q3501" s="3">
        <v>0</v>
      </c>
      <c r="S3501" s="23" t="s">
        <v>5949</v>
      </c>
      <c r="W3501" s="45" t="str">
        <f>HYPERLINK("http://ictvonline.org/taxonomy/p/taxonomy-history?taxnode_id=201851386","ICTVonline=201851386")</f>
        <v>ICTVonline=201851386</v>
      </c>
      <c r="AA3501" s="1">
        <v>201850000</v>
      </c>
      <c r="AB3501" s="1">
        <v>34</v>
      </c>
    </row>
    <row r="3502" spans="1:28" x14ac:dyDescent="0.15">
      <c r="A3502" s="1">
        <v>8965</v>
      </c>
      <c r="J3502" s="1" t="s">
        <v>1332</v>
      </c>
      <c r="L3502" s="1" t="s">
        <v>901</v>
      </c>
      <c r="N3502" s="1" t="s">
        <v>3453</v>
      </c>
      <c r="P3502" s="1" t="s">
        <v>4513</v>
      </c>
      <c r="Q3502" s="3">
        <v>0</v>
      </c>
      <c r="S3502" s="23" t="s">
        <v>5949</v>
      </c>
      <c r="W3502" s="45" t="str">
        <f>HYPERLINK("http://ictvonline.org/taxonomy/p/taxonomy-history?taxnode_id=201851387","ICTVonline=201851387")</f>
        <v>ICTVonline=201851387</v>
      </c>
      <c r="AA3502" s="1">
        <v>201850000</v>
      </c>
      <c r="AB3502" s="1">
        <v>34</v>
      </c>
    </row>
    <row r="3503" spans="1:28" x14ac:dyDescent="0.15">
      <c r="A3503" s="1">
        <v>8967</v>
      </c>
      <c r="J3503" s="1" t="s">
        <v>1332</v>
      </c>
      <c r="L3503" s="1" t="s">
        <v>901</v>
      </c>
      <c r="N3503" s="1" t="s">
        <v>3453</v>
      </c>
      <c r="P3503" s="1" t="s">
        <v>3455</v>
      </c>
      <c r="Q3503" s="3">
        <v>0</v>
      </c>
      <c r="S3503" s="23" t="s">
        <v>5949</v>
      </c>
      <c r="W3503" s="45" t="str">
        <f>HYPERLINK("http://ictvonline.org/taxonomy/p/taxonomy-history?taxnode_id=201851388","ICTVonline=201851388")</f>
        <v>ICTVonline=201851388</v>
      </c>
      <c r="AA3503" s="1">
        <v>201850000</v>
      </c>
      <c r="AB3503" s="1">
        <v>34</v>
      </c>
    </row>
    <row r="3504" spans="1:28" x14ac:dyDescent="0.15">
      <c r="A3504" s="1">
        <v>8969</v>
      </c>
      <c r="J3504" s="1" t="s">
        <v>1332</v>
      </c>
      <c r="L3504" s="1" t="s">
        <v>901</v>
      </c>
      <c r="N3504" s="1" t="s">
        <v>3453</v>
      </c>
      <c r="P3504" s="1" t="s">
        <v>4514</v>
      </c>
      <c r="Q3504" s="3">
        <v>0</v>
      </c>
      <c r="S3504" s="23" t="s">
        <v>5949</v>
      </c>
      <c r="W3504" s="45" t="str">
        <f>HYPERLINK("http://ictvonline.org/taxonomy/p/taxonomy-history?taxnode_id=201851389","ICTVonline=201851389")</f>
        <v>ICTVonline=201851389</v>
      </c>
      <c r="AA3504" s="1">
        <v>201850000</v>
      </c>
      <c r="AB3504" s="1">
        <v>34</v>
      </c>
    </row>
    <row r="3505" spans="1:28" x14ac:dyDescent="0.15">
      <c r="A3505" s="1">
        <v>8971</v>
      </c>
      <c r="J3505" s="1" t="s">
        <v>1332</v>
      </c>
      <c r="L3505" s="1" t="s">
        <v>901</v>
      </c>
      <c r="N3505" s="1" t="s">
        <v>3453</v>
      </c>
      <c r="P3505" s="1" t="s">
        <v>4515</v>
      </c>
      <c r="Q3505" s="3">
        <v>0</v>
      </c>
      <c r="S3505" s="23" t="s">
        <v>5949</v>
      </c>
      <c r="W3505" s="45" t="str">
        <f>HYPERLINK("http://ictvonline.org/taxonomy/p/taxonomy-history?taxnode_id=201851390","ICTVonline=201851390")</f>
        <v>ICTVonline=201851390</v>
      </c>
      <c r="AA3505" s="1">
        <v>201850000</v>
      </c>
      <c r="AB3505" s="1">
        <v>34</v>
      </c>
    </row>
    <row r="3506" spans="1:28" x14ac:dyDescent="0.15">
      <c r="A3506" s="1">
        <v>8973</v>
      </c>
      <c r="J3506" s="1" t="s">
        <v>1332</v>
      </c>
      <c r="L3506" s="1" t="s">
        <v>901</v>
      </c>
      <c r="N3506" s="1" t="s">
        <v>3453</v>
      </c>
      <c r="P3506" s="1" t="s">
        <v>3456</v>
      </c>
      <c r="Q3506" s="3">
        <v>1</v>
      </c>
      <c r="S3506" s="23" t="s">
        <v>5949</v>
      </c>
      <c r="W3506" s="45" t="str">
        <f>HYPERLINK("http://ictvonline.org/taxonomy/p/taxonomy-history?taxnode_id=201851391","ICTVonline=201851391")</f>
        <v>ICTVonline=201851391</v>
      </c>
      <c r="AA3506" s="1">
        <v>201850000</v>
      </c>
      <c r="AB3506" s="1">
        <v>34</v>
      </c>
    </row>
    <row r="3507" spans="1:28" x14ac:dyDescent="0.15">
      <c r="A3507" s="1">
        <v>8977</v>
      </c>
      <c r="J3507" s="1" t="s">
        <v>1332</v>
      </c>
      <c r="L3507" s="1" t="s">
        <v>901</v>
      </c>
      <c r="N3507" s="1" t="s">
        <v>6834</v>
      </c>
      <c r="P3507" s="1" t="s">
        <v>6835</v>
      </c>
      <c r="Q3507" s="3">
        <v>1</v>
      </c>
      <c r="S3507" s="23" t="s">
        <v>5949</v>
      </c>
      <c r="T3507" s="23" t="s">
        <v>4929</v>
      </c>
      <c r="U3507" s="3">
        <v>34</v>
      </c>
      <c r="V3507" s="3" t="s">
        <v>6836</v>
      </c>
      <c r="W3507" s="45" t="str">
        <f>HYPERLINK("http://ictvonline.org/taxonomy/p/taxonomy-history?taxnode_id=201856617","ICTVonline=201856617")</f>
        <v>ICTVonline=201856617</v>
      </c>
      <c r="AA3507" s="1">
        <v>201850000</v>
      </c>
      <c r="AB3507" s="1">
        <v>34</v>
      </c>
    </row>
    <row r="3508" spans="1:28" x14ac:dyDescent="0.15">
      <c r="A3508" s="1">
        <v>8980</v>
      </c>
      <c r="J3508" s="1" t="s">
        <v>1332</v>
      </c>
      <c r="L3508" s="1" t="s">
        <v>901</v>
      </c>
      <c r="P3508" s="1" t="s">
        <v>3265</v>
      </c>
      <c r="Q3508" s="3">
        <v>0</v>
      </c>
      <c r="S3508" s="23" t="s">
        <v>5949</v>
      </c>
      <c r="W3508" s="45" t="str">
        <f>HYPERLINK("http://ictvonline.org/taxonomy/p/taxonomy-history?taxnode_id=201851363","ICTVonline=201851363")</f>
        <v>ICTVonline=201851363</v>
      </c>
      <c r="AA3508" s="1">
        <v>201850000</v>
      </c>
      <c r="AB3508" s="1">
        <v>34</v>
      </c>
    </row>
    <row r="3509" spans="1:28" x14ac:dyDescent="0.15">
      <c r="A3509" s="1">
        <v>8987</v>
      </c>
      <c r="J3509" s="1" t="s">
        <v>902</v>
      </c>
      <c r="L3509" s="1" t="s">
        <v>903</v>
      </c>
      <c r="N3509" s="1" t="s">
        <v>407</v>
      </c>
      <c r="P3509" s="1" t="s">
        <v>408</v>
      </c>
      <c r="Q3509" s="3">
        <v>1</v>
      </c>
      <c r="S3509" s="23" t="s">
        <v>5949</v>
      </c>
      <c r="W3509" s="45" t="str">
        <f>HYPERLINK("http://ictvonline.org/taxonomy/p/taxonomy-history?taxnode_id=201851396","ICTVonline=201851396")</f>
        <v>ICTVonline=201851396</v>
      </c>
      <c r="AA3509" s="1">
        <v>201850000</v>
      </c>
      <c r="AB3509" s="1">
        <v>34</v>
      </c>
    </row>
    <row r="3510" spans="1:28" x14ac:dyDescent="0.15">
      <c r="A3510" s="1">
        <v>8989</v>
      </c>
      <c r="J3510" s="1" t="s">
        <v>902</v>
      </c>
      <c r="L3510" s="1" t="s">
        <v>903</v>
      </c>
      <c r="N3510" s="1" t="s">
        <v>407</v>
      </c>
      <c r="P3510" s="1" t="s">
        <v>1496</v>
      </c>
      <c r="Q3510" s="3">
        <v>0</v>
      </c>
      <c r="S3510" s="23" t="s">
        <v>5949</v>
      </c>
      <c r="W3510" s="45" t="str">
        <f>HYPERLINK("http://ictvonline.org/taxonomy/p/taxonomy-history?taxnode_id=201851397","ICTVonline=201851397")</f>
        <v>ICTVonline=201851397</v>
      </c>
      <c r="AA3510" s="1">
        <v>201850000</v>
      </c>
      <c r="AB3510" s="1">
        <v>34</v>
      </c>
    </row>
    <row r="3511" spans="1:28" x14ac:dyDescent="0.15">
      <c r="A3511" s="1">
        <v>8991</v>
      </c>
      <c r="J3511" s="1" t="s">
        <v>902</v>
      </c>
      <c r="L3511" s="1" t="s">
        <v>903</v>
      </c>
      <c r="N3511" s="1" t="s">
        <v>407</v>
      </c>
      <c r="P3511" s="1" t="s">
        <v>5097</v>
      </c>
      <c r="Q3511" s="3">
        <v>0</v>
      </c>
      <c r="S3511" s="23" t="s">
        <v>5949</v>
      </c>
      <c r="W3511" s="45" t="str">
        <f>HYPERLINK("http://ictvonline.org/taxonomy/p/taxonomy-history?taxnode_id=201855570","ICTVonline=201855570")</f>
        <v>ICTVonline=201855570</v>
      </c>
      <c r="AA3511" s="1">
        <v>201850000</v>
      </c>
      <c r="AB3511" s="1">
        <v>34</v>
      </c>
    </row>
    <row r="3512" spans="1:28" x14ac:dyDescent="0.15">
      <c r="A3512" s="1">
        <v>8995</v>
      </c>
      <c r="J3512" s="1" t="s">
        <v>902</v>
      </c>
      <c r="L3512" s="1" t="s">
        <v>903</v>
      </c>
      <c r="N3512" s="1" t="s">
        <v>1497</v>
      </c>
      <c r="P3512" s="1" t="s">
        <v>561</v>
      </c>
      <c r="Q3512" s="3">
        <v>0</v>
      </c>
      <c r="S3512" s="23" t="s">
        <v>5949</v>
      </c>
      <c r="W3512" s="45" t="str">
        <f>HYPERLINK("http://ictvonline.org/taxonomy/p/taxonomy-history?taxnode_id=201851399","ICTVonline=201851399")</f>
        <v>ICTVonline=201851399</v>
      </c>
      <c r="AA3512" s="1">
        <v>201850000</v>
      </c>
      <c r="AB3512" s="1">
        <v>34</v>
      </c>
    </row>
    <row r="3513" spans="1:28" x14ac:dyDescent="0.15">
      <c r="A3513" s="1">
        <v>8997</v>
      </c>
      <c r="J3513" s="1" t="s">
        <v>902</v>
      </c>
      <c r="L3513" s="1" t="s">
        <v>903</v>
      </c>
      <c r="N3513" s="1" t="s">
        <v>1497</v>
      </c>
      <c r="P3513" s="1" t="s">
        <v>1498</v>
      </c>
      <c r="Q3513" s="3">
        <v>0</v>
      </c>
      <c r="S3513" s="23" t="s">
        <v>5949</v>
      </c>
      <c r="W3513" s="45" t="str">
        <f>HYPERLINK("http://ictvonline.org/taxonomy/p/taxonomy-history?taxnode_id=201851400","ICTVonline=201851400")</f>
        <v>ICTVonline=201851400</v>
      </c>
      <c r="AA3513" s="1">
        <v>201850000</v>
      </c>
      <c r="AB3513" s="1">
        <v>34</v>
      </c>
    </row>
    <row r="3514" spans="1:28" x14ac:dyDescent="0.15">
      <c r="A3514" s="1">
        <v>8999</v>
      </c>
      <c r="J3514" s="1" t="s">
        <v>902</v>
      </c>
      <c r="L3514" s="1" t="s">
        <v>903</v>
      </c>
      <c r="N3514" s="1" t="s">
        <v>1497</v>
      </c>
      <c r="P3514" s="1" t="s">
        <v>1499</v>
      </c>
      <c r="Q3514" s="3">
        <v>0</v>
      </c>
      <c r="S3514" s="23" t="s">
        <v>5949</v>
      </c>
      <c r="W3514" s="45" t="str">
        <f>HYPERLINK("http://ictvonline.org/taxonomy/p/taxonomy-history?taxnode_id=201851401","ICTVonline=201851401")</f>
        <v>ICTVonline=201851401</v>
      </c>
      <c r="AA3514" s="1">
        <v>201850000</v>
      </c>
      <c r="AB3514" s="1">
        <v>34</v>
      </c>
    </row>
    <row r="3515" spans="1:28" x14ac:dyDescent="0.15">
      <c r="A3515" s="1">
        <v>9001</v>
      </c>
      <c r="J3515" s="1" t="s">
        <v>902</v>
      </c>
      <c r="L3515" s="1" t="s">
        <v>903</v>
      </c>
      <c r="N3515" s="1" t="s">
        <v>1497</v>
      </c>
      <c r="P3515" s="1" t="s">
        <v>905</v>
      </c>
      <c r="Q3515" s="3">
        <v>1</v>
      </c>
      <c r="S3515" s="23" t="s">
        <v>5949</v>
      </c>
      <c r="W3515" s="45" t="str">
        <f>HYPERLINK("http://ictvonline.org/taxonomy/p/taxonomy-history?taxnode_id=201851402","ICTVonline=201851402")</f>
        <v>ICTVonline=201851402</v>
      </c>
      <c r="AA3515" s="1">
        <v>201850000</v>
      </c>
      <c r="AB3515" s="1">
        <v>34</v>
      </c>
    </row>
    <row r="3516" spans="1:28" x14ac:dyDescent="0.15">
      <c r="A3516" s="1">
        <v>9005</v>
      </c>
      <c r="J3516" s="1" t="s">
        <v>902</v>
      </c>
      <c r="L3516" s="1" t="s">
        <v>903</v>
      </c>
      <c r="N3516" s="1" t="s">
        <v>1350</v>
      </c>
      <c r="P3516" s="1" t="s">
        <v>1518</v>
      </c>
      <c r="Q3516" s="3">
        <v>0</v>
      </c>
      <c r="S3516" s="23" t="s">
        <v>5949</v>
      </c>
      <c r="W3516" s="45" t="str">
        <f>HYPERLINK("http://ictvonline.org/taxonomy/p/taxonomy-history?taxnode_id=201851404","ICTVonline=201851404")</f>
        <v>ICTVonline=201851404</v>
      </c>
      <c r="AA3516" s="1">
        <v>201850000</v>
      </c>
      <c r="AB3516" s="1">
        <v>34</v>
      </c>
    </row>
    <row r="3517" spans="1:28" x14ac:dyDescent="0.15">
      <c r="A3517" s="1">
        <v>9007</v>
      </c>
      <c r="J3517" s="1" t="s">
        <v>902</v>
      </c>
      <c r="L3517" s="1" t="s">
        <v>903</v>
      </c>
      <c r="N3517" s="1" t="s">
        <v>1350</v>
      </c>
      <c r="P3517" s="1" t="s">
        <v>904</v>
      </c>
      <c r="Q3517" s="3">
        <v>1</v>
      </c>
      <c r="S3517" s="23" t="s">
        <v>5949</v>
      </c>
      <c r="W3517" s="45" t="str">
        <f>HYPERLINK("http://ictvonline.org/taxonomy/p/taxonomy-history?taxnode_id=201851405","ICTVonline=201851405")</f>
        <v>ICTVonline=201851405</v>
      </c>
      <c r="AA3517" s="1">
        <v>201850000</v>
      </c>
      <c r="AB3517" s="1">
        <v>34</v>
      </c>
    </row>
    <row r="3518" spans="1:28" x14ac:dyDescent="0.15">
      <c r="A3518" s="1">
        <v>9009</v>
      </c>
      <c r="J3518" s="1" t="s">
        <v>902</v>
      </c>
      <c r="L3518" s="1" t="s">
        <v>903</v>
      </c>
      <c r="N3518" s="1" t="s">
        <v>1350</v>
      </c>
      <c r="P3518" s="1" t="s">
        <v>1831</v>
      </c>
      <c r="Q3518" s="3">
        <v>0</v>
      </c>
      <c r="S3518" s="23" t="s">
        <v>5949</v>
      </c>
      <c r="W3518" s="45" t="str">
        <f>HYPERLINK("http://ictvonline.org/taxonomy/p/taxonomy-history?taxnode_id=201851406","ICTVonline=201851406")</f>
        <v>ICTVonline=201851406</v>
      </c>
      <c r="AA3518" s="1">
        <v>201850000</v>
      </c>
      <c r="AB3518" s="1">
        <v>34</v>
      </c>
    </row>
    <row r="3519" spans="1:28" x14ac:dyDescent="0.15">
      <c r="A3519" s="1">
        <v>9013</v>
      </c>
      <c r="J3519" s="1" t="s">
        <v>902</v>
      </c>
      <c r="L3519" s="1" t="s">
        <v>903</v>
      </c>
      <c r="N3519" s="1" t="s">
        <v>1500</v>
      </c>
      <c r="P3519" s="1" t="s">
        <v>1826</v>
      </c>
      <c r="Q3519" s="3">
        <v>1</v>
      </c>
      <c r="S3519" s="23" t="s">
        <v>5949</v>
      </c>
      <c r="W3519" s="45" t="str">
        <f>HYPERLINK("http://ictvonline.org/taxonomy/p/taxonomy-history?taxnode_id=201851408","ICTVonline=201851408")</f>
        <v>ICTVonline=201851408</v>
      </c>
      <c r="AA3519" s="1">
        <v>201850000</v>
      </c>
      <c r="AB3519" s="1">
        <v>34</v>
      </c>
    </row>
    <row r="3520" spans="1:28" x14ac:dyDescent="0.15">
      <c r="A3520" s="1">
        <v>9015</v>
      </c>
      <c r="J3520" s="1" t="s">
        <v>902</v>
      </c>
      <c r="L3520" s="1" t="s">
        <v>903</v>
      </c>
      <c r="N3520" s="1" t="s">
        <v>1500</v>
      </c>
      <c r="P3520" s="1" t="s">
        <v>2128</v>
      </c>
      <c r="Q3520" s="3">
        <v>0</v>
      </c>
      <c r="S3520" s="23" t="s">
        <v>5949</v>
      </c>
      <c r="W3520" s="45" t="str">
        <f>HYPERLINK("http://ictvonline.org/taxonomy/p/taxonomy-history?taxnode_id=201851409","ICTVonline=201851409")</f>
        <v>ICTVonline=201851409</v>
      </c>
      <c r="AA3520" s="1">
        <v>201850000</v>
      </c>
      <c r="AB3520" s="1">
        <v>34</v>
      </c>
    </row>
    <row r="3521" spans="1:28" x14ac:dyDescent="0.15">
      <c r="A3521" s="1">
        <v>9017</v>
      </c>
      <c r="J3521" s="1" t="s">
        <v>902</v>
      </c>
      <c r="L3521" s="1" t="s">
        <v>903</v>
      </c>
      <c r="N3521" s="1" t="s">
        <v>1500</v>
      </c>
      <c r="P3521" s="1" t="s">
        <v>1509</v>
      </c>
      <c r="Q3521" s="3">
        <v>0</v>
      </c>
      <c r="S3521" s="23" t="s">
        <v>5949</v>
      </c>
      <c r="W3521" s="45" t="str">
        <f>HYPERLINK("http://ictvonline.org/taxonomy/p/taxonomy-history?taxnode_id=201851410","ICTVonline=201851410")</f>
        <v>ICTVonline=201851410</v>
      </c>
      <c r="AA3521" s="1">
        <v>201850000</v>
      </c>
      <c r="AB3521" s="1">
        <v>34</v>
      </c>
    </row>
    <row r="3522" spans="1:28" x14ac:dyDescent="0.15">
      <c r="A3522" s="1">
        <v>9024</v>
      </c>
      <c r="J3522" s="1" t="s">
        <v>902</v>
      </c>
      <c r="L3522" s="1" t="s">
        <v>906</v>
      </c>
      <c r="M3522" s="1" t="s">
        <v>907</v>
      </c>
      <c r="N3522" s="1" t="s">
        <v>908</v>
      </c>
      <c r="P3522" s="1" t="s">
        <v>3457</v>
      </c>
      <c r="Q3522" s="3">
        <v>1</v>
      </c>
      <c r="S3522" s="23" t="s">
        <v>5949</v>
      </c>
      <c r="W3522" s="45" t="str">
        <f>HYPERLINK("http://ictvonline.org/taxonomy/p/taxonomy-history?taxnode_id=201851414","ICTVonline=201851414")</f>
        <v>ICTVonline=201851414</v>
      </c>
      <c r="AA3522" s="1">
        <v>201850000</v>
      </c>
      <c r="AB3522" s="1">
        <v>34</v>
      </c>
    </row>
    <row r="3523" spans="1:28" x14ac:dyDescent="0.15">
      <c r="A3523" s="1">
        <v>9026</v>
      </c>
      <c r="J3523" s="1" t="s">
        <v>902</v>
      </c>
      <c r="L3523" s="1" t="s">
        <v>906</v>
      </c>
      <c r="M3523" s="1" t="s">
        <v>907</v>
      </c>
      <c r="N3523" s="1" t="s">
        <v>908</v>
      </c>
      <c r="P3523" s="1" t="s">
        <v>3458</v>
      </c>
      <c r="Q3523" s="3">
        <v>0</v>
      </c>
      <c r="S3523" s="23" t="s">
        <v>5949</v>
      </c>
      <c r="W3523" s="45" t="str">
        <f>HYPERLINK("http://ictvonline.org/taxonomy/p/taxonomy-history?taxnode_id=201851415","ICTVonline=201851415")</f>
        <v>ICTVonline=201851415</v>
      </c>
      <c r="AA3523" s="1">
        <v>201850000</v>
      </c>
      <c r="AB3523" s="1">
        <v>34</v>
      </c>
    </row>
    <row r="3524" spans="1:28" x14ac:dyDescent="0.15">
      <c r="A3524" s="1">
        <v>9030</v>
      </c>
      <c r="J3524" s="1" t="s">
        <v>902</v>
      </c>
      <c r="L3524" s="1" t="s">
        <v>906</v>
      </c>
      <c r="M3524" s="1" t="s">
        <v>907</v>
      </c>
      <c r="N3524" s="1" t="s">
        <v>1382</v>
      </c>
      <c r="P3524" s="1" t="s">
        <v>3459</v>
      </c>
      <c r="Q3524" s="3">
        <v>0</v>
      </c>
      <c r="S3524" s="23" t="s">
        <v>5949</v>
      </c>
      <c r="W3524" s="45" t="str">
        <f>HYPERLINK("http://ictvonline.org/taxonomy/p/taxonomy-history?taxnode_id=201851417","ICTVonline=201851417")</f>
        <v>ICTVonline=201851417</v>
      </c>
      <c r="AA3524" s="1">
        <v>201850000</v>
      </c>
      <c r="AB3524" s="1">
        <v>34</v>
      </c>
    </row>
    <row r="3525" spans="1:28" x14ac:dyDescent="0.15">
      <c r="A3525" s="1">
        <v>9032</v>
      </c>
      <c r="J3525" s="1" t="s">
        <v>902</v>
      </c>
      <c r="L3525" s="1" t="s">
        <v>906</v>
      </c>
      <c r="M3525" s="1" t="s">
        <v>907</v>
      </c>
      <c r="N3525" s="1" t="s">
        <v>1382</v>
      </c>
      <c r="P3525" s="1" t="s">
        <v>3460</v>
      </c>
      <c r="Q3525" s="3">
        <v>0</v>
      </c>
      <c r="S3525" s="23" t="s">
        <v>5949</v>
      </c>
      <c r="W3525" s="45" t="str">
        <f>HYPERLINK("http://ictvonline.org/taxonomy/p/taxonomy-history?taxnode_id=201851418","ICTVonline=201851418")</f>
        <v>ICTVonline=201851418</v>
      </c>
      <c r="AA3525" s="1">
        <v>201850000</v>
      </c>
      <c r="AB3525" s="1">
        <v>34</v>
      </c>
    </row>
    <row r="3526" spans="1:28" x14ac:dyDescent="0.15">
      <c r="A3526" s="1">
        <v>9034</v>
      </c>
      <c r="J3526" s="1" t="s">
        <v>902</v>
      </c>
      <c r="L3526" s="1" t="s">
        <v>906</v>
      </c>
      <c r="M3526" s="1" t="s">
        <v>907</v>
      </c>
      <c r="N3526" s="1" t="s">
        <v>1382</v>
      </c>
      <c r="P3526" s="1" t="s">
        <v>3461</v>
      </c>
      <c r="Q3526" s="3">
        <v>1</v>
      </c>
      <c r="S3526" s="23" t="s">
        <v>5949</v>
      </c>
      <c r="W3526" s="45" t="str">
        <f>HYPERLINK("http://ictvonline.org/taxonomy/p/taxonomy-history?taxnode_id=201851419","ICTVonline=201851419")</f>
        <v>ICTVonline=201851419</v>
      </c>
      <c r="AA3526" s="1">
        <v>201850000</v>
      </c>
      <c r="AB3526" s="1">
        <v>34</v>
      </c>
    </row>
    <row r="3527" spans="1:28" x14ac:dyDescent="0.15">
      <c r="A3527" s="1">
        <v>9036</v>
      </c>
      <c r="J3527" s="1" t="s">
        <v>902</v>
      </c>
      <c r="L3527" s="1" t="s">
        <v>906</v>
      </c>
      <c r="M3527" s="1" t="s">
        <v>907</v>
      </c>
      <c r="N3527" s="1" t="s">
        <v>1382</v>
      </c>
      <c r="P3527" s="1" t="s">
        <v>3462</v>
      </c>
      <c r="Q3527" s="3">
        <v>0</v>
      </c>
      <c r="S3527" s="23" t="s">
        <v>5949</v>
      </c>
      <c r="W3527" s="45" t="str">
        <f>HYPERLINK("http://ictvonline.org/taxonomy/p/taxonomy-history?taxnode_id=201851420","ICTVonline=201851420")</f>
        <v>ICTVonline=201851420</v>
      </c>
      <c r="AA3527" s="1">
        <v>201850000</v>
      </c>
      <c r="AB3527" s="1">
        <v>34</v>
      </c>
    </row>
    <row r="3528" spans="1:28" x14ac:dyDescent="0.15">
      <c r="A3528" s="1">
        <v>9038</v>
      </c>
      <c r="J3528" s="1" t="s">
        <v>902</v>
      </c>
      <c r="L3528" s="1" t="s">
        <v>906</v>
      </c>
      <c r="M3528" s="1" t="s">
        <v>907</v>
      </c>
      <c r="N3528" s="1" t="s">
        <v>1382</v>
      </c>
      <c r="P3528" s="1" t="s">
        <v>3463</v>
      </c>
      <c r="Q3528" s="3">
        <v>0</v>
      </c>
      <c r="S3528" s="23" t="s">
        <v>5949</v>
      </c>
      <c r="W3528" s="45" t="str">
        <f>HYPERLINK("http://ictvonline.org/taxonomy/p/taxonomy-history?taxnode_id=201851421","ICTVonline=201851421")</f>
        <v>ICTVonline=201851421</v>
      </c>
      <c r="AA3528" s="1">
        <v>201850000</v>
      </c>
      <c r="AB3528" s="1">
        <v>34</v>
      </c>
    </row>
    <row r="3529" spans="1:28" x14ac:dyDescent="0.15">
      <c r="A3529" s="1">
        <v>9040</v>
      </c>
      <c r="J3529" s="1" t="s">
        <v>902</v>
      </c>
      <c r="L3529" s="1" t="s">
        <v>906</v>
      </c>
      <c r="M3529" s="1" t="s">
        <v>907</v>
      </c>
      <c r="N3529" s="1" t="s">
        <v>1382</v>
      </c>
      <c r="P3529" s="1" t="s">
        <v>6837</v>
      </c>
      <c r="Q3529" s="3">
        <v>0</v>
      </c>
      <c r="S3529" s="23" t="s">
        <v>5949</v>
      </c>
      <c r="T3529" s="23" t="s">
        <v>4929</v>
      </c>
      <c r="U3529" s="3">
        <v>34</v>
      </c>
      <c r="V3529" s="3" t="s">
        <v>6838</v>
      </c>
      <c r="W3529" s="45" t="str">
        <f>HYPERLINK("http://ictvonline.org/taxonomy/p/taxonomy-history?taxnode_id=201856397","ICTVonline=201856397")</f>
        <v>ICTVonline=201856397</v>
      </c>
      <c r="AA3529" s="1">
        <v>201850000</v>
      </c>
      <c r="AB3529" s="1">
        <v>34</v>
      </c>
    </row>
    <row r="3530" spans="1:28" x14ac:dyDescent="0.15">
      <c r="A3530" s="1">
        <v>9044</v>
      </c>
      <c r="J3530" s="1" t="s">
        <v>902</v>
      </c>
      <c r="L3530" s="1" t="s">
        <v>906</v>
      </c>
      <c r="M3530" s="1" t="s">
        <v>907</v>
      </c>
      <c r="N3530" s="1" t="s">
        <v>1344</v>
      </c>
      <c r="P3530" s="1" t="s">
        <v>3464</v>
      </c>
      <c r="Q3530" s="3">
        <v>1</v>
      </c>
      <c r="S3530" s="23" t="s">
        <v>5949</v>
      </c>
      <c r="W3530" s="45" t="str">
        <f>HYPERLINK("http://ictvonline.org/taxonomy/p/taxonomy-history?taxnode_id=201851423","ICTVonline=201851423")</f>
        <v>ICTVonline=201851423</v>
      </c>
      <c r="AA3530" s="1">
        <v>201850000</v>
      </c>
      <c r="AB3530" s="1">
        <v>34</v>
      </c>
    </row>
    <row r="3531" spans="1:28" x14ac:dyDescent="0.15">
      <c r="A3531" s="1">
        <v>9046</v>
      </c>
      <c r="J3531" s="1" t="s">
        <v>902</v>
      </c>
      <c r="L3531" s="1" t="s">
        <v>906</v>
      </c>
      <c r="M3531" s="1" t="s">
        <v>907</v>
      </c>
      <c r="N3531" s="1" t="s">
        <v>1344</v>
      </c>
      <c r="P3531" s="1" t="s">
        <v>6839</v>
      </c>
      <c r="Q3531" s="3">
        <v>0</v>
      </c>
      <c r="S3531" s="23" t="s">
        <v>5949</v>
      </c>
      <c r="T3531" s="23" t="s">
        <v>4929</v>
      </c>
      <c r="U3531" s="3">
        <v>34</v>
      </c>
      <c r="V3531" s="3" t="s">
        <v>6838</v>
      </c>
      <c r="W3531" s="45" t="str">
        <f>HYPERLINK("http://ictvonline.org/taxonomy/p/taxonomy-history?taxnode_id=201856398","ICTVonline=201856398")</f>
        <v>ICTVonline=201856398</v>
      </c>
      <c r="AA3531" s="1">
        <v>201850000</v>
      </c>
      <c r="AB3531" s="1">
        <v>34</v>
      </c>
    </row>
    <row r="3532" spans="1:28" x14ac:dyDescent="0.15">
      <c r="A3532" s="1">
        <v>9050</v>
      </c>
      <c r="J3532" s="1" t="s">
        <v>902</v>
      </c>
      <c r="L3532" s="1" t="s">
        <v>906</v>
      </c>
      <c r="M3532" s="1" t="s">
        <v>907</v>
      </c>
      <c r="N3532" s="1" t="s">
        <v>1294</v>
      </c>
      <c r="P3532" s="1" t="s">
        <v>3465</v>
      </c>
      <c r="Q3532" s="3">
        <v>0</v>
      </c>
      <c r="S3532" s="23" t="s">
        <v>5949</v>
      </c>
      <c r="W3532" s="45" t="str">
        <f>HYPERLINK("http://ictvonline.org/taxonomy/p/taxonomy-history?taxnode_id=201851425","ICTVonline=201851425")</f>
        <v>ICTVonline=201851425</v>
      </c>
      <c r="AA3532" s="1">
        <v>201850000</v>
      </c>
      <c r="AB3532" s="1">
        <v>34</v>
      </c>
    </row>
    <row r="3533" spans="1:28" x14ac:dyDescent="0.15">
      <c r="A3533" s="1">
        <v>9052</v>
      </c>
      <c r="J3533" s="1" t="s">
        <v>902</v>
      </c>
      <c r="L3533" s="1" t="s">
        <v>906</v>
      </c>
      <c r="M3533" s="1" t="s">
        <v>907</v>
      </c>
      <c r="N3533" s="1" t="s">
        <v>1294</v>
      </c>
      <c r="P3533" s="1" t="s">
        <v>3466</v>
      </c>
      <c r="Q3533" s="3">
        <v>0</v>
      </c>
      <c r="S3533" s="23" t="s">
        <v>5949</v>
      </c>
      <c r="W3533" s="45" t="str">
        <f>HYPERLINK("http://ictvonline.org/taxonomy/p/taxonomy-history?taxnode_id=201851426","ICTVonline=201851426")</f>
        <v>ICTVonline=201851426</v>
      </c>
      <c r="AA3533" s="1">
        <v>201850000</v>
      </c>
      <c r="AB3533" s="1">
        <v>34</v>
      </c>
    </row>
    <row r="3534" spans="1:28" x14ac:dyDescent="0.15">
      <c r="A3534" s="1">
        <v>9054</v>
      </c>
      <c r="J3534" s="1" t="s">
        <v>902</v>
      </c>
      <c r="L3534" s="1" t="s">
        <v>906</v>
      </c>
      <c r="M3534" s="1" t="s">
        <v>907</v>
      </c>
      <c r="N3534" s="1" t="s">
        <v>1294</v>
      </c>
      <c r="P3534" s="1" t="s">
        <v>3467</v>
      </c>
      <c r="Q3534" s="3">
        <v>0</v>
      </c>
      <c r="S3534" s="23" t="s">
        <v>5949</v>
      </c>
      <c r="W3534" s="45" t="str">
        <f>HYPERLINK("http://ictvonline.org/taxonomy/p/taxonomy-history?taxnode_id=201851427","ICTVonline=201851427")</f>
        <v>ICTVonline=201851427</v>
      </c>
      <c r="AA3534" s="1">
        <v>201850000</v>
      </c>
      <c r="AB3534" s="1">
        <v>34</v>
      </c>
    </row>
    <row r="3535" spans="1:28" x14ac:dyDescent="0.15">
      <c r="A3535" s="1">
        <v>9056</v>
      </c>
      <c r="J3535" s="1" t="s">
        <v>902</v>
      </c>
      <c r="L3535" s="1" t="s">
        <v>906</v>
      </c>
      <c r="M3535" s="1" t="s">
        <v>907</v>
      </c>
      <c r="N3535" s="1" t="s">
        <v>1294</v>
      </c>
      <c r="P3535" s="1" t="s">
        <v>3468</v>
      </c>
      <c r="Q3535" s="3">
        <v>1</v>
      </c>
      <c r="S3535" s="23" t="s">
        <v>5949</v>
      </c>
      <c r="W3535" s="45" t="str">
        <f>HYPERLINK("http://ictvonline.org/taxonomy/p/taxonomy-history?taxnode_id=201851428","ICTVonline=201851428")</f>
        <v>ICTVonline=201851428</v>
      </c>
      <c r="AA3535" s="1">
        <v>201850000</v>
      </c>
      <c r="AB3535" s="1">
        <v>34</v>
      </c>
    </row>
    <row r="3536" spans="1:28" x14ac:dyDescent="0.15">
      <c r="A3536" s="1">
        <v>9058</v>
      </c>
      <c r="J3536" s="1" t="s">
        <v>902</v>
      </c>
      <c r="L3536" s="1" t="s">
        <v>906</v>
      </c>
      <c r="M3536" s="1" t="s">
        <v>907</v>
      </c>
      <c r="N3536" s="1" t="s">
        <v>1294</v>
      </c>
      <c r="P3536" s="1" t="s">
        <v>3469</v>
      </c>
      <c r="Q3536" s="3">
        <v>0</v>
      </c>
      <c r="S3536" s="23" t="s">
        <v>5949</v>
      </c>
      <c r="W3536" s="45" t="str">
        <f>HYPERLINK("http://ictvonline.org/taxonomy/p/taxonomy-history?taxnode_id=201851429","ICTVonline=201851429")</f>
        <v>ICTVonline=201851429</v>
      </c>
      <c r="AA3536" s="1">
        <v>201850000</v>
      </c>
      <c r="AB3536" s="1">
        <v>34</v>
      </c>
    </row>
    <row r="3537" spans="1:28" x14ac:dyDescent="0.15">
      <c r="A3537" s="1">
        <v>9060</v>
      </c>
      <c r="J3537" s="1" t="s">
        <v>902</v>
      </c>
      <c r="L3537" s="1" t="s">
        <v>906</v>
      </c>
      <c r="M3537" s="1" t="s">
        <v>907</v>
      </c>
      <c r="N3537" s="1" t="s">
        <v>1294</v>
      </c>
      <c r="P3537" s="1" t="s">
        <v>3470</v>
      </c>
      <c r="Q3537" s="3">
        <v>0</v>
      </c>
      <c r="S3537" s="23" t="s">
        <v>5949</v>
      </c>
      <c r="W3537" s="45" t="str">
        <f>HYPERLINK("http://ictvonline.org/taxonomy/p/taxonomy-history?taxnode_id=201851430","ICTVonline=201851430")</f>
        <v>ICTVonline=201851430</v>
      </c>
      <c r="AA3537" s="1">
        <v>201850000</v>
      </c>
      <c r="AB3537" s="1">
        <v>34</v>
      </c>
    </row>
    <row r="3538" spans="1:28" x14ac:dyDescent="0.15">
      <c r="A3538" s="1">
        <v>9062</v>
      </c>
      <c r="J3538" s="1" t="s">
        <v>902</v>
      </c>
      <c r="L3538" s="1" t="s">
        <v>906</v>
      </c>
      <c r="M3538" s="1" t="s">
        <v>907</v>
      </c>
      <c r="N3538" s="1" t="s">
        <v>1294</v>
      </c>
      <c r="P3538" s="1" t="s">
        <v>3471</v>
      </c>
      <c r="Q3538" s="3">
        <v>0</v>
      </c>
      <c r="S3538" s="23" t="s">
        <v>5949</v>
      </c>
      <c r="W3538" s="45" t="str">
        <f>HYPERLINK("http://ictvonline.org/taxonomy/p/taxonomy-history?taxnode_id=201851431","ICTVonline=201851431")</f>
        <v>ICTVonline=201851431</v>
      </c>
      <c r="AA3538" s="1">
        <v>201850000</v>
      </c>
      <c r="AB3538" s="1">
        <v>34</v>
      </c>
    </row>
    <row r="3539" spans="1:28" x14ac:dyDescent="0.15">
      <c r="A3539" s="1">
        <v>9064</v>
      </c>
      <c r="J3539" s="1" t="s">
        <v>902</v>
      </c>
      <c r="L3539" s="1" t="s">
        <v>906</v>
      </c>
      <c r="M3539" s="1" t="s">
        <v>907</v>
      </c>
      <c r="N3539" s="1" t="s">
        <v>1294</v>
      </c>
      <c r="P3539" s="1" t="s">
        <v>3472</v>
      </c>
      <c r="Q3539" s="3">
        <v>0</v>
      </c>
      <c r="S3539" s="23" t="s">
        <v>5949</v>
      </c>
      <c r="W3539" s="45" t="str">
        <f>HYPERLINK("http://ictvonline.org/taxonomy/p/taxonomy-history?taxnode_id=201851432","ICTVonline=201851432")</f>
        <v>ICTVonline=201851432</v>
      </c>
      <c r="AA3539" s="1">
        <v>201850000</v>
      </c>
      <c r="AB3539" s="1">
        <v>34</v>
      </c>
    </row>
    <row r="3540" spans="1:28" x14ac:dyDescent="0.15">
      <c r="A3540" s="1">
        <v>9066</v>
      </c>
      <c r="J3540" s="1" t="s">
        <v>902</v>
      </c>
      <c r="L3540" s="1" t="s">
        <v>906</v>
      </c>
      <c r="M3540" s="1" t="s">
        <v>907</v>
      </c>
      <c r="N3540" s="1" t="s">
        <v>1294</v>
      </c>
      <c r="P3540" s="1" t="s">
        <v>3473</v>
      </c>
      <c r="Q3540" s="3">
        <v>0</v>
      </c>
      <c r="S3540" s="23" t="s">
        <v>5949</v>
      </c>
      <c r="W3540" s="45" t="str">
        <f>HYPERLINK("http://ictvonline.org/taxonomy/p/taxonomy-history?taxnode_id=201851433","ICTVonline=201851433")</f>
        <v>ICTVonline=201851433</v>
      </c>
      <c r="AA3540" s="1">
        <v>201850000</v>
      </c>
      <c r="AB3540" s="1">
        <v>34</v>
      </c>
    </row>
    <row r="3541" spans="1:28" x14ac:dyDescent="0.15">
      <c r="A3541" s="1">
        <v>9068</v>
      </c>
      <c r="J3541" s="1" t="s">
        <v>902</v>
      </c>
      <c r="L3541" s="1" t="s">
        <v>906</v>
      </c>
      <c r="M3541" s="1" t="s">
        <v>907</v>
      </c>
      <c r="N3541" s="1" t="s">
        <v>1294</v>
      </c>
      <c r="P3541" s="1" t="s">
        <v>3474</v>
      </c>
      <c r="Q3541" s="3">
        <v>0</v>
      </c>
      <c r="S3541" s="23" t="s">
        <v>5949</v>
      </c>
      <c r="W3541" s="45" t="str">
        <f>HYPERLINK("http://ictvonline.org/taxonomy/p/taxonomy-history?taxnode_id=201851434","ICTVonline=201851434")</f>
        <v>ICTVonline=201851434</v>
      </c>
      <c r="AA3541" s="1">
        <v>201850000</v>
      </c>
      <c r="AB3541" s="1">
        <v>34</v>
      </c>
    </row>
    <row r="3542" spans="1:28" x14ac:dyDescent="0.15">
      <c r="A3542" s="1">
        <v>9070</v>
      </c>
      <c r="J3542" s="1" t="s">
        <v>902</v>
      </c>
      <c r="L3542" s="1" t="s">
        <v>906</v>
      </c>
      <c r="M3542" s="1" t="s">
        <v>907</v>
      </c>
      <c r="N3542" s="1" t="s">
        <v>1294</v>
      </c>
      <c r="P3542" s="1" t="s">
        <v>3475</v>
      </c>
      <c r="Q3542" s="3">
        <v>0</v>
      </c>
      <c r="S3542" s="23" t="s">
        <v>5949</v>
      </c>
      <c r="W3542" s="45" t="str">
        <f>HYPERLINK("http://ictvonline.org/taxonomy/p/taxonomy-history?taxnode_id=201851435","ICTVonline=201851435")</f>
        <v>ICTVonline=201851435</v>
      </c>
      <c r="AA3542" s="1">
        <v>201850000</v>
      </c>
      <c r="AB3542" s="1">
        <v>34</v>
      </c>
    </row>
    <row r="3543" spans="1:28" x14ac:dyDescent="0.15">
      <c r="A3543" s="1">
        <v>9072</v>
      </c>
      <c r="J3543" s="1" t="s">
        <v>902</v>
      </c>
      <c r="L3543" s="1" t="s">
        <v>906</v>
      </c>
      <c r="M3543" s="1" t="s">
        <v>907</v>
      </c>
      <c r="N3543" s="1" t="s">
        <v>1294</v>
      </c>
      <c r="P3543" s="1" t="s">
        <v>6840</v>
      </c>
      <c r="Q3543" s="3">
        <v>0</v>
      </c>
      <c r="S3543" s="23" t="s">
        <v>5949</v>
      </c>
      <c r="T3543" s="23" t="s">
        <v>4929</v>
      </c>
      <c r="U3543" s="3">
        <v>34</v>
      </c>
      <c r="V3543" s="3" t="s">
        <v>6838</v>
      </c>
      <c r="W3543" s="45" t="str">
        <f>HYPERLINK("http://ictvonline.org/taxonomy/p/taxonomy-history?taxnode_id=201856395","ICTVonline=201856395")</f>
        <v>ICTVonline=201856395</v>
      </c>
      <c r="AA3543" s="1">
        <v>201850000</v>
      </c>
      <c r="AB3543" s="1">
        <v>34</v>
      </c>
    </row>
    <row r="3544" spans="1:28" x14ac:dyDescent="0.15">
      <c r="A3544" s="1">
        <v>9074</v>
      </c>
      <c r="J3544" s="1" t="s">
        <v>902</v>
      </c>
      <c r="L3544" s="1" t="s">
        <v>906</v>
      </c>
      <c r="M3544" s="1" t="s">
        <v>907</v>
      </c>
      <c r="N3544" s="1" t="s">
        <v>1294</v>
      </c>
      <c r="P3544" s="1" t="s">
        <v>3476</v>
      </c>
      <c r="Q3544" s="3">
        <v>0</v>
      </c>
      <c r="S3544" s="23" t="s">
        <v>5949</v>
      </c>
      <c r="W3544" s="45" t="str">
        <f>HYPERLINK("http://ictvonline.org/taxonomy/p/taxonomy-history?taxnode_id=201851436","ICTVonline=201851436")</f>
        <v>ICTVonline=201851436</v>
      </c>
      <c r="AA3544" s="1">
        <v>201850000</v>
      </c>
      <c r="AB3544" s="1">
        <v>34</v>
      </c>
    </row>
    <row r="3545" spans="1:28" x14ac:dyDescent="0.15">
      <c r="A3545" s="1">
        <v>9078</v>
      </c>
      <c r="J3545" s="1" t="s">
        <v>902</v>
      </c>
      <c r="L3545" s="1" t="s">
        <v>906</v>
      </c>
      <c r="M3545" s="1" t="s">
        <v>907</v>
      </c>
      <c r="N3545" s="1" t="s">
        <v>1295</v>
      </c>
      <c r="P3545" s="1" t="s">
        <v>3478</v>
      </c>
      <c r="Q3545" s="3">
        <v>0</v>
      </c>
      <c r="S3545" s="23" t="s">
        <v>5949</v>
      </c>
      <c r="W3545" s="45" t="str">
        <f>HYPERLINK("http://ictvonline.org/taxonomy/p/taxonomy-history?taxnode_id=201851440","ICTVonline=201851440")</f>
        <v>ICTVonline=201851440</v>
      </c>
      <c r="AA3545" s="1">
        <v>201850000</v>
      </c>
      <c r="AB3545" s="1">
        <v>34</v>
      </c>
    </row>
    <row r="3546" spans="1:28" x14ac:dyDescent="0.15">
      <c r="A3546" s="1">
        <v>9080</v>
      </c>
      <c r="J3546" s="1" t="s">
        <v>902</v>
      </c>
      <c r="L3546" s="1" t="s">
        <v>906</v>
      </c>
      <c r="M3546" s="1" t="s">
        <v>907</v>
      </c>
      <c r="N3546" s="1" t="s">
        <v>1295</v>
      </c>
      <c r="P3546" s="1" t="s">
        <v>3479</v>
      </c>
      <c r="Q3546" s="3">
        <v>0</v>
      </c>
      <c r="S3546" s="23" t="s">
        <v>5949</v>
      </c>
      <c r="W3546" s="45" t="str">
        <f>HYPERLINK("http://ictvonline.org/taxonomy/p/taxonomy-history?taxnode_id=201851441","ICTVonline=201851441")</f>
        <v>ICTVonline=201851441</v>
      </c>
      <c r="AA3546" s="1">
        <v>201850000</v>
      </c>
      <c r="AB3546" s="1">
        <v>34</v>
      </c>
    </row>
    <row r="3547" spans="1:28" x14ac:dyDescent="0.15">
      <c r="A3547" s="1">
        <v>9082</v>
      </c>
      <c r="J3547" s="1" t="s">
        <v>902</v>
      </c>
      <c r="L3547" s="1" t="s">
        <v>906</v>
      </c>
      <c r="M3547" s="1" t="s">
        <v>907</v>
      </c>
      <c r="N3547" s="1" t="s">
        <v>1295</v>
      </c>
      <c r="P3547" s="1" t="s">
        <v>3480</v>
      </c>
      <c r="Q3547" s="3">
        <v>0</v>
      </c>
      <c r="S3547" s="23" t="s">
        <v>5949</v>
      </c>
      <c r="W3547" s="45" t="str">
        <f>HYPERLINK("http://ictvonline.org/taxonomy/p/taxonomy-history?taxnode_id=201851442","ICTVonline=201851442")</f>
        <v>ICTVonline=201851442</v>
      </c>
      <c r="AA3547" s="1">
        <v>201850000</v>
      </c>
      <c r="AB3547" s="1">
        <v>34</v>
      </c>
    </row>
    <row r="3548" spans="1:28" x14ac:dyDescent="0.15">
      <c r="A3548" s="1">
        <v>9084</v>
      </c>
      <c r="J3548" s="1" t="s">
        <v>902</v>
      </c>
      <c r="L3548" s="1" t="s">
        <v>906</v>
      </c>
      <c r="M3548" s="1" t="s">
        <v>907</v>
      </c>
      <c r="N3548" s="1" t="s">
        <v>1295</v>
      </c>
      <c r="P3548" s="1" t="s">
        <v>3481</v>
      </c>
      <c r="Q3548" s="3">
        <v>0</v>
      </c>
      <c r="S3548" s="23" t="s">
        <v>5949</v>
      </c>
      <c r="W3548" s="45" t="str">
        <f>HYPERLINK("http://ictvonline.org/taxonomy/p/taxonomy-history?taxnode_id=201851443","ICTVonline=201851443")</f>
        <v>ICTVonline=201851443</v>
      </c>
      <c r="AA3548" s="1">
        <v>201850000</v>
      </c>
      <c r="AB3548" s="1">
        <v>34</v>
      </c>
    </row>
    <row r="3549" spans="1:28" x14ac:dyDescent="0.15">
      <c r="A3549" s="1">
        <v>9086</v>
      </c>
      <c r="J3549" s="1" t="s">
        <v>902</v>
      </c>
      <c r="L3549" s="1" t="s">
        <v>906</v>
      </c>
      <c r="M3549" s="1" t="s">
        <v>907</v>
      </c>
      <c r="N3549" s="1" t="s">
        <v>1295</v>
      </c>
      <c r="P3549" s="1" t="s">
        <v>3482</v>
      </c>
      <c r="Q3549" s="3">
        <v>0</v>
      </c>
      <c r="S3549" s="23" t="s">
        <v>5949</v>
      </c>
      <c r="W3549" s="45" t="str">
        <f>HYPERLINK("http://ictvonline.org/taxonomy/p/taxonomy-history?taxnode_id=201851444","ICTVonline=201851444")</f>
        <v>ICTVonline=201851444</v>
      </c>
      <c r="AA3549" s="1">
        <v>201850000</v>
      </c>
      <c r="AB3549" s="1">
        <v>34</v>
      </c>
    </row>
    <row r="3550" spans="1:28" x14ac:dyDescent="0.15">
      <c r="A3550" s="1">
        <v>9088</v>
      </c>
      <c r="J3550" s="1" t="s">
        <v>902</v>
      </c>
      <c r="L3550" s="1" t="s">
        <v>906</v>
      </c>
      <c r="M3550" s="1" t="s">
        <v>907</v>
      </c>
      <c r="N3550" s="1" t="s">
        <v>1295</v>
      </c>
      <c r="P3550" s="1" t="s">
        <v>3483</v>
      </c>
      <c r="Q3550" s="3">
        <v>0</v>
      </c>
      <c r="S3550" s="23" t="s">
        <v>5949</v>
      </c>
      <c r="W3550" s="45" t="str">
        <f>HYPERLINK("http://ictvonline.org/taxonomy/p/taxonomy-history?taxnode_id=201851445","ICTVonline=201851445")</f>
        <v>ICTVonline=201851445</v>
      </c>
      <c r="AA3550" s="1">
        <v>201850000</v>
      </c>
      <c r="AB3550" s="1">
        <v>34</v>
      </c>
    </row>
    <row r="3551" spans="1:28" x14ac:dyDescent="0.15">
      <c r="A3551" s="1">
        <v>9090</v>
      </c>
      <c r="J3551" s="1" t="s">
        <v>902</v>
      </c>
      <c r="L3551" s="1" t="s">
        <v>906</v>
      </c>
      <c r="M3551" s="1" t="s">
        <v>907</v>
      </c>
      <c r="N3551" s="1" t="s">
        <v>1295</v>
      </c>
      <c r="P3551" s="1" t="s">
        <v>3484</v>
      </c>
      <c r="Q3551" s="3">
        <v>0</v>
      </c>
      <c r="S3551" s="23" t="s">
        <v>5949</v>
      </c>
      <c r="W3551" s="45" t="str">
        <f>HYPERLINK("http://ictvonline.org/taxonomy/p/taxonomy-history?taxnode_id=201851446","ICTVonline=201851446")</f>
        <v>ICTVonline=201851446</v>
      </c>
      <c r="AA3551" s="1">
        <v>201850000</v>
      </c>
      <c r="AB3551" s="1">
        <v>34</v>
      </c>
    </row>
    <row r="3552" spans="1:28" x14ac:dyDescent="0.15">
      <c r="A3552" s="1">
        <v>9092</v>
      </c>
      <c r="J3552" s="1" t="s">
        <v>902</v>
      </c>
      <c r="L3552" s="1" t="s">
        <v>906</v>
      </c>
      <c r="M3552" s="1" t="s">
        <v>907</v>
      </c>
      <c r="N3552" s="1" t="s">
        <v>1295</v>
      </c>
      <c r="P3552" s="1" t="s">
        <v>3485</v>
      </c>
      <c r="Q3552" s="3">
        <v>0</v>
      </c>
      <c r="S3552" s="23" t="s">
        <v>5949</v>
      </c>
      <c r="W3552" s="45" t="str">
        <f>HYPERLINK("http://ictvonline.org/taxonomy/p/taxonomy-history?taxnode_id=201851447","ICTVonline=201851447")</f>
        <v>ICTVonline=201851447</v>
      </c>
      <c r="AA3552" s="1">
        <v>201850000</v>
      </c>
      <c r="AB3552" s="1">
        <v>34</v>
      </c>
    </row>
    <row r="3553" spans="1:28" x14ac:dyDescent="0.15">
      <c r="A3553" s="1">
        <v>9094</v>
      </c>
      <c r="J3553" s="1" t="s">
        <v>902</v>
      </c>
      <c r="L3553" s="1" t="s">
        <v>906</v>
      </c>
      <c r="M3553" s="1" t="s">
        <v>907</v>
      </c>
      <c r="N3553" s="1" t="s">
        <v>1295</v>
      </c>
      <c r="P3553" s="1" t="s">
        <v>3486</v>
      </c>
      <c r="Q3553" s="3">
        <v>0</v>
      </c>
      <c r="S3553" s="23" t="s">
        <v>5949</v>
      </c>
      <c r="W3553" s="45" t="str">
        <f>HYPERLINK("http://ictvonline.org/taxonomy/p/taxonomy-history?taxnode_id=201851448","ICTVonline=201851448")</f>
        <v>ICTVonline=201851448</v>
      </c>
      <c r="AA3553" s="1">
        <v>201850000</v>
      </c>
      <c r="AB3553" s="1">
        <v>34</v>
      </c>
    </row>
    <row r="3554" spans="1:28" x14ac:dyDescent="0.15">
      <c r="A3554" s="1">
        <v>9096</v>
      </c>
      <c r="J3554" s="1" t="s">
        <v>902</v>
      </c>
      <c r="L3554" s="1" t="s">
        <v>906</v>
      </c>
      <c r="M3554" s="1" t="s">
        <v>907</v>
      </c>
      <c r="N3554" s="1" t="s">
        <v>1295</v>
      </c>
      <c r="P3554" s="1" t="s">
        <v>3487</v>
      </c>
      <c r="Q3554" s="3">
        <v>0</v>
      </c>
      <c r="S3554" s="23" t="s">
        <v>5949</v>
      </c>
      <c r="W3554" s="45" t="str">
        <f>HYPERLINK("http://ictvonline.org/taxonomy/p/taxonomy-history?taxnode_id=201851449","ICTVonline=201851449")</f>
        <v>ICTVonline=201851449</v>
      </c>
      <c r="AA3554" s="1">
        <v>201850000</v>
      </c>
      <c r="AB3554" s="1">
        <v>34</v>
      </c>
    </row>
    <row r="3555" spans="1:28" x14ac:dyDescent="0.15">
      <c r="A3555" s="1">
        <v>9098</v>
      </c>
      <c r="J3555" s="1" t="s">
        <v>902</v>
      </c>
      <c r="L3555" s="1" t="s">
        <v>906</v>
      </c>
      <c r="M3555" s="1" t="s">
        <v>907</v>
      </c>
      <c r="N3555" s="1" t="s">
        <v>1295</v>
      </c>
      <c r="P3555" s="1" t="s">
        <v>3488</v>
      </c>
      <c r="Q3555" s="3">
        <v>0</v>
      </c>
      <c r="S3555" s="23" t="s">
        <v>5949</v>
      </c>
      <c r="W3555" s="45" t="str">
        <f>HYPERLINK("http://ictvonline.org/taxonomy/p/taxonomy-history?taxnode_id=201851450","ICTVonline=201851450")</f>
        <v>ICTVonline=201851450</v>
      </c>
      <c r="AA3555" s="1">
        <v>201850000</v>
      </c>
      <c r="AB3555" s="1">
        <v>34</v>
      </c>
    </row>
    <row r="3556" spans="1:28" x14ac:dyDescent="0.15">
      <c r="A3556" s="1">
        <v>9100</v>
      </c>
      <c r="J3556" s="1" t="s">
        <v>902</v>
      </c>
      <c r="L3556" s="1" t="s">
        <v>906</v>
      </c>
      <c r="M3556" s="1" t="s">
        <v>907</v>
      </c>
      <c r="N3556" s="1" t="s">
        <v>1295</v>
      </c>
      <c r="P3556" s="1" t="s">
        <v>3489</v>
      </c>
      <c r="Q3556" s="3">
        <v>0</v>
      </c>
      <c r="S3556" s="23" t="s">
        <v>5949</v>
      </c>
      <c r="W3556" s="45" t="str">
        <f>HYPERLINK("http://ictvonline.org/taxonomy/p/taxonomy-history?taxnode_id=201851451","ICTVonline=201851451")</f>
        <v>ICTVonline=201851451</v>
      </c>
      <c r="AA3556" s="1">
        <v>201850000</v>
      </c>
      <c r="AB3556" s="1">
        <v>34</v>
      </c>
    </row>
    <row r="3557" spans="1:28" x14ac:dyDescent="0.15">
      <c r="A3557" s="1">
        <v>9102</v>
      </c>
      <c r="J3557" s="1" t="s">
        <v>902</v>
      </c>
      <c r="L3557" s="1" t="s">
        <v>906</v>
      </c>
      <c r="M3557" s="1" t="s">
        <v>907</v>
      </c>
      <c r="N3557" s="1" t="s">
        <v>1295</v>
      </c>
      <c r="P3557" s="1" t="s">
        <v>3490</v>
      </c>
      <c r="Q3557" s="3">
        <v>0</v>
      </c>
      <c r="S3557" s="23" t="s">
        <v>5949</v>
      </c>
      <c r="W3557" s="45" t="str">
        <f>HYPERLINK("http://ictvonline.org/taxonomy/p/taxonomy-history?taxnode_id=201851452","ICTVonline=201851452")</f>
        <v>ICTVonline=201851452</v>
      </c>
      <c r="AA3557" s="1">
        <v>201850000</v>
      </c>
      <c r="AB3557" s="1">
        <v>34</v>
      </c>
    </row>
    <row r="3558" spans="1:28" x14ac:dyDescent="0.15">
      <c r="A3558" s="1">
        <v>9104</v>
      </c>
      <c r="J3558" s="1" t="s">
        <v>902</v>
      </c>
      <c r="L3558" s="1" t="s">
        <v>906</v>
      </c>
      <c r="M3558" s="1" t="s">
        <v>907</v>
      </c>
      <c r="N3558" s="1" t="s">
        <v>1295</v>
      </c>
      <c r="P3558" s="1" t="s">
        <v>3491</v>
      </c>
      <c r="Q3558" s="3">
        <v>0</v>
      </c>
      <c r="S3558" s="23" t="s">
        <v>5949</v>
      </c>
      <c r="W3558" s="45" t="str">
        <f>HYPERLINK("http://ictvonline.org/taxonomy/p/taxonomy-history?taxnode_id=201851453","ICTVonline=201851453")</f>
        <v>ICTVonline=201851453</v>
      </c>
      <c r="AA3558" s="1">
        <v>201850000</v>
      </c>
      <c r="AB3558" s="1">
        <v>34</v>
      </c>
    </row>
    <row r="3559" spans="1:28" x14ac:dyDescent="0.15">
      <c r="A3559" s="1">
        <v>9106</v>
      </c>
      <c r="J3559" s="1" t="s">
        <v>902</v>
      </c>
      <c r="L3559" s="1" t="s">
        <v>906</v>
      </c>
      <c r="M3559" s="1" t="s">
        <v>907</v>
      </c>
      <c r="N3559" s="1" t="s">
        <v>1295</v>
      </c>
      <c r="P3559" s="1" t="s">
        <v>3492</v>
      </c>
      <c r="Q3559" s="3">
        <v>1</v>
      </c>
      <c r="S3559" s="23" t="s">
        <v>5949</v>
      </c>
      <c r="W3559" s="45" t="str">
        <f>HYPERLINK("http://ictvonline.org/taxonomy/p/taxonomy-history?taxnode_id=201851454","ICTVonline=201851454")</f>
        <v>ICTVonline=201851454</v>
      </c>
      <c r="AA3559" s="1">
        <v>201850000</v>
      </c>
      <c r="AB3559" s="1">
        <v>34</v>
      </c>
    </row>
    <row r="3560" spans="1:28" x14ac:dyDescent="0.15">
      <c r="A3560" s="1">
        <v>9108</v>
      </c>
      <c r="J3560" s="1" t="s">
        <v>902</v>
      </c>
      <c r="L3560" s="1" t="s">
        <v>906</v>
      </c>
      <c r="M3560" s="1" t="s">
        <v>907</v>
      </c>
      <c r="N3560" s="1" t="s">
        <v>1295</v>
      </c>
      <c r="P3560" s="1" t="s">
        <v>6841</v>
      </c>
      <c r="Q3560" s="3">
        <v>0</v>
      </c>
      <c r="S3560" s="23" t="s">
        <v>5949</v>
      </c>
      <c r="T3560" s="23" t="s">
        <v>4929</v>
      </c>
      <c r="U3560" s="3">
        <v>34</v>
      </c>
      <c r="V3560" s="3" t="s">
        <v>6838</v>
      </c>
      <c r="W3560" s="45" t="str">
        <f>HYPERLINK("http://ictvonline.org/taxonomy/p/taxonomy-history?taxnode_id=201856396","ICTVonline=201856396")</f>
        <v>ICTVonline=201856396</v>
      </c>
      <c r="AA3560" s="1">
        <v>201850000</v>
      </c>
      <c r="AB3560" s="1">
        <v>34</v>
      </c>
    </row>
    <row r="3561" spans="1:28" x14ac:dyDescent="0.15">
      <c r="A3561" s="1">
        <v>9110</v>
      </c>
      <c r="J3561" s="1" t="s">
        <v>902</v>
      </c>
      <c r="L3561" s="1" t="s">
        <v>906</v>
      </c>
      <c r="M3561" s="1" t="s">
        <v>907</v>
      </c>
      <c r="N3561" s="1" t="s">
        <v>1295</v>
      </c>
      <c r="P3561" s="1" t="s">
        <v>3493</v>
      </c>
      <c r="Q3561" s="3">
        <v>0</v>
      </c>
      <c r="S3561" s="23" t="s">
        <v>5949</v>
      </c>
      <c r="W3561" s="45" t="str">
        <f>HYPERLINK("http://ictvonline.org/taxonomy/p/taxonomy-history?taxnode_id=201851455","ICTVonline=201851455")</f>
        <v>ICTVonline=201851455</v>
      </c>
      <c r="AA3561" s="1">
        <v>201850000</v>
      </c>
      <c r="AB3561" s="1">
        <v>34</v>
      </c>
    </row>
    <row r="3562" spans="1:28" x14ac:dyDescent="0.15">
      <c r="A3562" s="1">
        <v>9112</v>
      </c>
      <c r="J3562" s="1" t="s">
        <v>902</v>
      </c>
      <c r="L3562" s="1" t="s">
        <v>906</v>
      </c>
      <c r="M3562" s="1" t="s">
        <v>907</v>
      </c>
      <c r="N3562" s="1" t="s">
        <v>1295</v>
      </c>
      <c r="P3562" s="1" t="s">
        <v>3494</v>
      </c>
      <c r="Q3562" s="3">
        <v>0</v>
      </c>
      <c r="S3562" s="23" t="s">
        <v>5949</v>
      </c>
      <c r="W3562" s="45" t="str">
        <f>HYPERLINK("http://ictvonline.org/taxonomy/p/taxonomy-history?taxnode_id=201851456","ICTVonline=201851456")</f>
        <v>ICTVonline=201851456</v>
      </c>
      <c r="AA3562" s="1">
        <v>201850000</v>
      </c>
      <c r="AB3562" s="1">
        <v>34</v>
      </c>
    </row>
    <row r="3563" spans="1:28" x14ac:dyDescent="0.15">
      <c r="A3563" s="1">
        <v>9115</v>
      </c>
      <c r="J3563" s="1" t="s">
        <v>902</v>
      </c>
      <c r="L3563" s="1" t="s">
        <v>906</v>
      </c>
      <c r="M3563" s="1" t="s">
        <v>907</v>
      </c>
      <c r="P3563" s="1" t="s">
        <v>3477</v>
      </c>
      <c r="Q3563" s="3">
        <v>0</v>
      </c>
      <c r="S3563" s="23" t="s">
        <v>5949</v>
      </c>
      <c r="W3563" s="45" t="str">
        <f>HYPERLINK("http://ictvonline.org/taxonomy/p/taxonomy-history?taxnode_id=201851438","ICTVonline=201851438")</f>
        <v>ICTVonline=201851438</v>
      </c>
      <c r="AA3563" s="1">
        <v>201850000</v>
      </c>
      <c r="AB3563" s="1">
        <v>34</v>
      </c>
    </row>
    <row r="3564" spans="1:28" x14ac:dyDescent="0.15">
      <c r="A3564" s="1">
        <v>9120</v>
      </c>
      <c r="J3564" s="1" t="s">
        <v>902</v>
      </c>
      <c r="L3564" s="1" t="s">
        <v>906</v>
      </c>
      <c r="M3564" s="1" t="s">
        <v>1396</v>
      </c>
      <c r="N3564" s="1" t="s">
        <v>686</v>
      </c>
      <c r="P3564" s="1" t="s">
        <v>3495</v>
      </c>
      <c r="Q3564" s="3">
        <v>0</v>
      </c>
      <c r="S3564" s="23" t="s">
        <v>5949</v>
      </c>
      <c r="W3564" s="45" t="str">
        <f>HYPERLINK("http://ictvonline.org/taxonomy/p/taxonomy-history?taxnode_id=201851459","ICTVonline=201851459")</f>
        <v>ICTVonline=201851459</v>
      </c>
      <c r="AA3564" s="1">
        <v>201850000</v>
      </c>
      <c r="AB3564" s="1">
        <v>34</v>
      </c>
    </row>
    <row r="3565" spans="1:28" x14ac:dyDescent="0.15">
      <c r="A3565" s="1">
        <v>9122</v>
      </c>
      <c r="J3565" s="1" t="s">
        <v>902</v>
      </c>
      <c r="L3565" s="1" t="s">
        <v>906</v>
      </c>
      <c r="M3565" s="1" t="s">
        <v>1396</v>
      </c>
      <c r="N3565" s="1" t="s">
        <v>686</v>
      </c>
      <c r="P3565" s="1" t="s">
        <v>3496</v>
      </c>
      <c r="Q3565" s="3">
        <v>0</v>
      </c>
      <c r="S3565" s="23" t="s">
        <v>5949</v>
      </c>
      <c r="W3565" s="45" t="str">
        <f>HYPERLINK("http://ictvonline.org/taxonomy/p/taxonomy-history?taxnode_id=201851460","ICTVonline=201851460")</f>
        <v>ICTVonline=201851460</v>
      </c>
      <c r="AA3565" s="1">
        <v>201850000</v>
      </c>
      <c r="AB3565" s="1">
        <v>34</v>
      </c>
    </row>
    <row r="3566" spans="1:28" x14ac:dyDescent="0.15">
      <c r="A3566" s="1">
        <v>9124</v>
      </c>
      <c r="J3566" s="1" t="s">
        <v>902</v>
      </c>
      <c r="L3566" s="1" t="s">
        <v>906</v>
      </c>
      <c r="M3566" s="1" t="s">
        <v>1396</v>
      </c>
      <c r="N3566" s="1" t="s">
        <v>686</v>
      </c>
      <c r="P3566" s="1" t="s">
        <v>3497</v>
      </c>
      <c r="Q3566" s="3">
        <v>0</v>
      </c>
      <c r="S3566" s="23" t="s">
        <v>5949</v>
      </c>
      <c r="W3566" s="45" t="str">
        <f>HYPERLINK("http://ictvonline.org/taxonomy/p/taxonomy-history?taxnode_id=201851461","ICTVonline=201851461")</f>
        <v>ICTVonline=201851461</v>
      </c>
      <c r="AA3566" s="1">
        <v>201850000</v>
      </c>
      <c r="AB3566" s="1">
        <v>34</v>
      </c>
    </row>
    <row r="3567" spans="1:28" x14ac:dyDescent="0.15">
      <c r="A3567" s="1">
        <v>9126</v>
      </c>
      <c r="J3567" s="1" t="s">
        <v>902</v>
      </c>
      <c r="L3567" s="1" t="s">
        <v>906</v>
      </c>
      <c r="M3567" s="1" t="s">
        <v>1396</v>
      </c>
      <c r="N3567" s="1" t="s">
        <v>686</v>
      </c>
      <c r="P3567" s="1" t="s">
        <v>3498</v>
      </c>
      <c r="Q3567" s="3">
        <v>1</v>
      </c>
      <c r="S3567" s="23" t="s">
        <v>5949</v>
      </c>
      <c r="W3567" s="45" t="str">
        <f>HYPERLINK("http://ictvonline.org/taxonomy/p/taxonomy-history?taxnode_id=201851462","ICTVonline=201851462")</f>
        <v>ICTVonline=201851462</v>
      </c>
      <c r="AA3567" s="1">
        <v>201850000</v>
      </c>
      <c r="AB3567" s="1">
        <v>34</v>
      </c>
    </row>
    <row r="3568" spans="1:28" x14ac:dyDescent="0.15">
      <c r="A3568" s="1">
        <v>9128</v>
      </c>
      <c r="J3568" s="1" t="s">
        <v>902</v>
      </c>
      <c r="L3568" s="1" t="s">
        <v>906</v>
      </c>
      <c r="M3568" s="1" t="s">
        <v>1396</v>
      </c>
      <c r="N3568" s="1" t="s">
        <v>686</v>
      </c>
      <c r="P3568" s="1" t="s">
        <v>3499</v>
      </c>
      <c r="Q3568" s="3">
        <v>0</v>
      </c>
      <c r="S3568" s="23" t="s">
        <v>5949</v>
      </c>
      <c r="W3568" s="45" t="str">
        <f>HYPERLINK("http://ictvonline.org/taxonomy/p/taxonomy-history?taxnode_id=201851463","ICTVonline=201851463")</f>
        <v>ICTVonline=201851463</v>
      </c>
      <c r="AA3568" s="1">
        <v>201850000</v>
      </c>
      <c r="AB3568" s="1">
        <v>34</v>
      </c>
    </row>
    <row r="3569" spans="1:28" x14ac:dyDescent="0.15">
      <c r="A3569" s="1">
        <v>9130</v>
      </c>
      <c r="J3569" s="1" t="s">
        <v>902</v>
      </c>
      <c r="L3569" s="1" t="s">
        <v>906</v>
      </c>
      <c r="M3569" s="1" t="s">
        <v>1396</v>
      </c>
      <c r="N3569" s="1" t="s">
        <v>686</v>
      </c>
      <c r="P3569" s="1" t="s">
        <v>6842</v>
      </c>
      <c r="Q3569" s="3">
        <v>0</v>
      </c>
      <c r="S3569" s="23" t="s">
        <v>5949</v>
      </c>
      <c r="T3569" s="23" t="s">
        <v>4929</v>
      </c>
      <c r="U3569" s="3">
        <v>34</v>
      </c>
      <c r="V3569" s="3" t="s">
        <v>6838</v>
      </c>
      <c r="W3569" s="45" t="str">
        <f>HYPERLINK("http://ictvonline.org/taxonomy/p/taxonomy-history?taxnode_id=201856399","ICTVonline=201856399")</f>
        <v>ICTVonline=201856399</v>
      </c>
      <c r="AA3569" s="1">
        <v>201850000</v>
      </c>
      <c r="AB3569" s="1">
        <v>34</v>
      </c>
    </row>
    <row r="3570" spans="1:28" x14ac:dyDescent="0.15">
      <c r="A3570" s="1">
        <v>9132</v>
      </c>
      <c r="J3570" s="1" t="s">
        <v>902</v>
      </c>
      <c r="L3570" s="1" t="s">
        <v>906</v>
      </c>
      <c r="M3570" s="1" t="s">
        <v>1396</v>
      </c>
      <c r="N3570" s="1" t="s">
        <v>686</v>
      </c>
      <c r="P3570" s="1" t="s">
        <v>6843</v>
      </c>
      <c r="Q3570" s="3">
        <v>0</v>
      </c>
      <c r="S3570" s="23" t="s">
        <v>5949</v>
      </c>
      <c r="T3570" s="23" t="s">
        <v>4929</v>
      </c>
      <c r="U3570" s="3">
        <v>34</v>
      </c>
      <c r="V3570" s="3" t="s">
        <v>6838</v>
      </c>
      <c r="W3570" s="45" t="str">
        <f>HYPERLINK("http://ictvonline.org/taxonomy/p/taxonomy-history?taxnode_id=201856400","ICTVonline=201856400")</f>
        <v>ICTVonline=201856400</v>
      </c>
      <c r="AA3570" s="1">
        <v>201850000</v>
      </c>
      <c r="AB3570" s="1">
        <v>34</v>
      </c>
    </row>
    <row r="3571" spans="1:28" x14ac:dyDescent="0.15">
      <c r="A3571" s="1">
        <v>9134</v>
      </c>
      <c r="J3571" s="1" t="s">
        <v>902</v>
      </c>
      <c r="L3571" s="1" t="s">
        <v>906</v>
      </c>
      <c r="M3571" s="1" t="s">
        <v>1396</v>
      </c>
      <c r="N3571" s="1" t="s">
        <v>686</v>
      </c>
      <c r="P3571" s="1" t="s">
        <v>3500</v>
      </c>
      <c r="Q3571" s="3">
        <v>0</v>
      </c>
      <c r="S3571" s="23" t="s">
        <v>5949</v>
      </c>
      <c r="W3571" s="45" t="str">
        <f>HYPERLINK("http://ictvonline.org/taxonomy/p/taxonomy-history?taxnode_id=201851464","ICTVonline=201851464")</f>
        <v>ICTVonline=201851464</v>
      </c>
      <c r="AA3571" s="1">
        <v>201850000</v>
      </c>
      <c r="AB3571" s="1">
        <v>34</v>
      </c>
    </row>
    <row r="3572" spans="1:28" x14ac:dyDescent="0.15">
      <c r="A3572" s="1">
        <v>9136</v>
      </c>
      <c r="J3572" s="1" t="s">
        <v>902</v>
      </c>
      <c r="L3572" s="1" t="s">
        <v>906</v>
      </c>
      <c r="M3572" s="1" t="s">
        <v>1396</v>
      </c>
      <c r="N3572" s="1" t="s">
        <v>686</v>
      </c>
      <c r="P3572" s="1" t="s">
        <v>3501</v>
      </c>
      <c r="Q3572" s="3">
        <v>0</v>
      </c>
      <c r="S3572" s="23" t="s">
        <v>5949</v>
      </c>
      <c r="W3572" s="45" t="str">
        <f>HYPERLINK("http://ictvonline.org/taxonomy/p/taxonomy-history?taxnode_id=201851465","ICTVonline=201851465")</f>
        <v>ICTVonline=201851465</v>
      </c>
      <c r="AA3572" s="1">
        <v>201850000</v>
      </c>
      <c r="AB3572" s="1">
        <v>34</v>
      </c>
    </row>
    <row r="3573" spans="1:28" x14ac:dyDescent="0.15">
      <c r="A3573" s="1">
        <v>9138</v>
      </c>
      <c r="J3573" s="1" t="s">
        <v>902</v>
      </c>
      <c r="L3573" s="1" t="s">
        <v>906</v>
      </c>
      <c r="M3573" s="1" t="s">
        <v>1396</v>
      </c>
      <c r="N3573" s="1" t="s">
        <v>686</v>
      </c>
      <c r="P3573" s="1" t="s">
        <v>6844</v>
      </c>
      <c r="Q3573" s="3">
        <v>0</v>
      </c>
      <c r="S3573" s="23" t="s">
        <v>5949</v>
      </c>
      <c r="T3573" s="23" t="s">
        <v>4929</v>
      </c>
      <c r="U3573" s="3">
        <v>34</v>
      </c>
      <c r="V3573" s="3" t="s">
        <v>6838</v>
      </c>
      <c r="W3573" s="45" t="str">
        <f>HYPERLINK("http://ictvonline.org/taxonomy/p/taxonomy-history?taxnode_id=201856401","ICTVonline=201856401")</f>
        <v>ICTVonline=201856401</v>
      </c>
      <c r="AA3573" s="1">
        <v>201850000</v>
      </c>
      <c r="AB3573" s="1">
        <v>34</v>
      </c>
    </row>
    <row r="3574" spans="1:28" x14ac:dyDescent="0.15">
      <c r="A3574" s="1">
        <v>9140</v>
      </c>
      <c r="J3574" s="1" t="s">
        <v>902</v>
      </c>
      <c r="L3574" s="1" t="s">
        <v>906</v>
      </c>
      <c r="M3574" s="1" t="s">
        <v>1396</v>
      </c>
      <c r="N3574" s="1" t="s">
        <v>686</v>
      </c>
      <c r="P3574" s="1" t="s">
        <v>3502</v>
      </c>
      <c r="Q3574" s="3">
        <v>0</v>
      </c>
      <c r="S3574" s="23" t="s">
        <v>5949</v>
      </c>
      <c r="W3574" s="45" t="str">
        <f>HYPERLINK("http://ictvonline.org/taxonomy/p/taxonomy-history?taxnode_id=201851466","ICTVonline=201851466")</f>
        <v>ICTVonline=201851466</v>
      </c>
      <c r="AA3574" s="1">
        <v>201850000</v>
      </c>
      <c r="AB3574" s="1">
        <v>34</v>
      </c>
    </row>
    <row r="3575" spans="1:28" x14ac:dyDescent="0.15">
      <c r="A3575" s="1">
        <v>9144</v>
      </c>
      <c r="J3575" s="1" t="s">
        <v>902</v>
      </c>
      <c r="L3575" s="1" t="s">
        <v>906</v>
      </c>
      <c r="M3575" s="1" t="s">
        <v>1396</v>
      </c>
      <c r="N3575" s="1" t="s">
        <v>687</v>
      </c>
      <c r="P3575" s="1" t="s">
        <v>3503</v>
      </c>
      <c r="Q3575" s="3">
        <v>1</v>
      </c>
      <c r="S3575" s="23" t="s">
        <v>5949</v>
      </c>
      <c r="W3575" s="45" t="str">
        <f>HYPERLINK("http://ictvonline.org/taxonomy/p/taxonomy-history?taxnode_id=201851468","ICTVonline=201851468")</f>
        <v>ICTVonline=201851468</v>
      </c>
      <c r="AA3575" s="1">
        <v>201850000</v>
      </c>
      <c r="AB3575" s="1">
        <v>34</v>
      </c>
    </row>
    <row r="3576" spans="1:28" x14ac:dyDescent="0.15">
      <c r="A3576" s="1">
        <v>9146</v>
      </c>
      <c r="J3576" s="1" t="s">
        <v>902</v>
      </c>
      <c r="L3576" s="1" t="s">
        <v>906</v>
      </c>
      <c r="M3576" s="1" t="s">
        <v>1396</v>
      </c>
      <c r="N3576" s="1" t="s">
        <v>687</v>
      </c>
      <c r="P3576" s="1" t="s">
        <v>3504</v>
      </c>
      <c r="Q3576" s="3">
        <v>0</v>
      </c>
      <c r="S3576" s="23" t="s">
        <v>5949</v>
      </c>
      <c r="W3576" s="45" t="str">
        <f>HYPERLINK("http://ictvonline.org/taxonomy/p/taxonomy-history?taxnode_id=201851469","ICTVonline=201851469")</f>
        <v>ICTVonline=201851469</v>
      </c>
      <c r="AA3576" s="1">
        <v>201850000</v>
      </c>
      <c r="AB3576" s="1">
        <v>34</v>
      </c>
    </row>
    <row r="3577" spans="1:28" x14ac:dyDescent="0.15">
      <c r="A3577" s="1">
        <v>9148</v>
      </c>
      <c r="J3577" s="1" t="s">
        <v>902</v>
      </c>
      <c r="L3577" s="1" t="s">
        <v>906</v>
      </c>
      <c r="M3577" s="1" t="s">
        <v>1396</v>
      </c>
      <c r="N3577" s="1" t="s">
        <v>687</v>
      </c>
      <c r="P3577" s="1" t="s">
        <v>3505</v>
      </c>
      <c r="Q3577" s="3">
        <v>0</v>
      </c>
      <c r="S3577" s="23" t="s">
        <v>5949</v>
      </c>
      <c r="W3577" s="45" t="str">
        <f>HYPERLINK("http://ictvonline.org/taxonomy/p/taxonomy-history?taxnode_id=201851470","ICTVonline=201851470")</f>
        <v>ICTVonline=201851470</v>
      </c>
      <c r="AA3577" s="1">
        <v>201850000</v>
      </c>
      <c r="AB3577" s="1">
        <v>34</v>
      </c>
    </row>
    <row r="3578" spans="1:28" x14ac:dyDescent="0.15">
      <c r="A3578" s="1">
        <v>9152</v>
      </c>
      <c r="J3578" s="1" t="s">
        <v>902</v>
      </c>
      <c r="L3578" s="1" t="s">
        <v>906</v>
      </c>
      <c r="M3578" s="1" t="s">
        <v>1396</v>
      </c>
      <c r="N3578" s="1" t="s">
        <v>1398</v>
      </c>
      <c r="P3578" s="1" t="s">
        <v>3506</v>
      </c>
      <c r="Q3578" s="3">
        <v>1</v>
      </c>
      <c r="S3578" s="23" t="s">
        <v>5949</v>
      </c>
      <c r="W3578" s="45" t="str">
        <f>HYPERLINK("http://ictvonline.org/taxonomy/p/taxonomy-history?taxnode_id=201851472","ICTVonline=201851472")</f>
        <v>ICTVonline=201851472</v>
      </c>
      <c r="AA3578" s="1">
        <v>201850000</v>
      </c>
      <c r="AB3578" s="1">
        <v>34</v>
      </c>
    </row>
    <row r="3579" spans="1:28" x14ac:dyDescent="0.15">
      <c r="A3579" s="1">
        <v>9154</v>
      </c>
      <c r="J3579" s="1" t="s">
        <v>902</v>
      </c>
      <c r="L3579" s="1" t="s">
        <v>906</v>
      </c>
      <c r="M3579" s="1" t="s">
        <v>1396</v>
      </c>
      <c r="N3579" s="1" t="s">
        <v>1398</v>
      </c>
      <c r="P3579" s="1" t="s">
        <v>6845</v>
      </c>
      <c r="Q3579" s="3">
        <v>0</v>
      </c>
      <c r="S3579" s="23" t="s">
        <v>5949</v>
      </c>
      <c r="T3579" s="23" t="s">
        <v>4929</v>
      </c>
      <c r="U3579" s="3">
        <v>34</v>
      </c>
      <c r="V3579" s="3" t="s">
        <v>6838</v>
      </c>
      <c r="W3579" s="45" t="str">
        <f>HYPERLINK("http://ictvonline.org/taxonomy/p/taxonomy-history?taxnode_id=201856404","ICTVonline=201856404")</f>
        <v>ICTVonline=201856404</v>
      </c>
      <c r="AA3579" s="1">
        <v>201850000</v>
      </c>
      <c r="AB3579" s="1">
        <v>34</v>
      </c>
    </row>
    <row r="3580" spans="1:28" x14ac:dyDescent="0.15">
      <c r="A3580" s="1">
        <v>9156</v>
      </c>
      <c r="J3580" s="1" t="s">
        <v>902</v>
      </c>
      <c r="L3580" s="1" t="s">
        <v>906</v>
      </c>
      <c r="M3580" s="1" t="s">
        <v>1396</v>
      </c>
      <c r="N3580" s="1" t="s">
        <v>1398</v>
      </c>
      <c r="P3580" s="1" t="s">
        <v>6846</v>
      </c>
      <c r="Q3580" s="3">
        <v>0</v>
      </c>
      <c r="S3580" s="23" t="s">
        <v>5949</v>
      </c>
      <c r="T3580" s="23" t="s">
        <v>4929</v>
      </c>
      <c r="U3580" s="3">
        <v>34</v>
      </c>
      <c r="V3580" s="3" t="s">
        <v>6838</v>
      </c>
      <c r="W3580" s="45" t="str">
        <f>HYPERLINK("http://ictvonline.org/taxonomy/p/taxonomy-history?taxnode_id=201856405","ICTVonline=201856405")</f>
        <v>ICTVonline=201856405</v>
      </c>
      <c r="AA3580" s="1">
        <v>201850000</v>
      </c>
      <c r="AB3580" s="1">
        <v>34</v>
      </c>
    </row>
    <row r="3581" spans="1:28" x14ac:dyDescent="0.15">
      <c r="A3581" s="1">
        <v>9160</v>
      </c>
      <c r="J3581" s="1" t="s">
        <v>902</v>
      </c>
      <c r="L3581" s="1" t="s">
        <v>906</v>
      </c>
      <c r="M3581" s="1" t="s">
        <v>1396</v>
      </c>
      <c r="N3581" s="1" t="s">
        <v>1399</v>
      </c>
      <c r="P3581" s="1" t="s">
        <v>3507</v>
      </c>
      <c r="Q3581" s="3">
        <v>0</v>
      </c>
      <c r="S3581" s="23" t="s">
        <v>5949</v>
      </c>
      <c r="W3581" s="45" t="str">
        <f>HYPERLINK("http://ictvonline.org/taxonomy/p/taxonomy-history?taxnode_id=201851474","ICTVonline=201851474")</f>
        <v>ICTVonline=201851474</v>
      </c>
      <c r="AA3581" s="1">
        <v>201850000</v>
      </c>
      <c r="AB3581" s="1">
        <v>34</v>
      </c>
    </row>
    <row r="3582" spans="1:28" x14ac:dyDescent="0.15">
      <c r="A3582" s="1">
        <v>9162</v>
      </c>
      <c r="J3582" s="1" t="s">
        <v>902</v>
      </c>
      <c r="L3582" s="1" t="s">
        <v>906</v>
      </c>
      <c r="M3582" s="1" t="s">
        <v>1396</v>
      </c>
      <c r="N3582" s="1" t="s">
        <v>1399</v>
      </c>
      <c r="P3582" s="1" t="s">
        <v>3508</v>
      </c>
      <c r="Q3582" s="3">
        <v>1</v>
      </c>
      <c r="S3582" s="23" t="s">
        <v>5949</v>
      </c>
      <c r="W3582" s="45" t="str">
        <f>HYPERLINK("http://ictvonline.org/taxonomy/p/taxonomy-history?taxnode_id=201851475","ICTVonline=201851475")</f>
        <v>ICTVonline=201851475</v>
      </c>
      <c r="AA3582" s="1">
        <v>201850000</v>
      </c>
      <c r="AB3582" s="1">
        <v>34</v>
      </c>
    </row>
    <row r="3583" spans="1:28" x14ac:dyDescent="0.15">
      <c r="A3583" s="1">
        <v>9164</v>
      </c>
      <c r="J3583" s="1" t="s">
        <v>902</v>
      </c>
      <c r="L3583" s="1" t="s">
        <v>906</v>
      </c>
      <c r="M3583" s="1" t="s">
        <v>1396</v>
      </c>
      <c r="N3583" s="1" t="s">
        <v>1399</v>
      </c>
      <c r="P3583" s="1" t="s">
        <v>3509</v>
      </c>
      <c r="Q3583" s="3">
        <v>0</v>
      </c>
      <c r="S3583" s="23" t="s">
        <v>5949</v>
      </c>
      <c r="W3583" s="45" t="str">
        <f>HYPERLINK("http://ictvonline.org/taxonomy/p/taxonomy-history?taxnode_id=201851476","ICTVonline=201851476")</f>
        <v>ICTVonline=201851476</v>
      </c>
      <c r="AA3583" s="1">
        <v>201850000</v>
      </c>
      <c r="AB3583" s="1">
        <v>34</v>
      </c>
    </row>
    <row r="3584" spans="1:28" x14ac:dyDescent="0.15">
      <c r="A3584" s="1">
        <v>9166</v>
      </c>
      <c r="J3584" s="1" t="s">
        <v>902</v>
      </c>
      <c r="L3584" s="1" t="s">
        <v>906</v>
      </c>
      <c r="M3584" s="1" t="s">
        <v>1396</v>
      </c>
      <c r="N3584" s="1" t="s">
        <v>1399</v>
      </c>
      <c r="P3584" s="1" t="s">
        <v>6847</v>
      </c>
      <c r="Q3584" s="3">
        <v>0</v>
      </c>
      <c r="S3584" s="23" t="s">
        <v>5949</v>
      </c>
      <c r="T3584" s="23" t="s">
        <v>4929</v>
      </c>
      <c r="U3584" s="3">
        <v>34</v>
      </c>
      <c r="V3584" s="3" t="s">
        <v>6838</v>
      </c>
      <c r="W3584" s="45" t="str">
        <f>HYPERLINK("http://ictvonline.org/taxonomy/p/taxonomy-history?taxnode_id=201856402","ICTVonline=201856402")</f>
        <v>ICTVonline=201856402</v>
      </c>
      <c r="AA3584" s="1">
        <v>201850000</v>
      </c>
      <c r="AB3584" s="1">
        <v>34</v>
      </c>
    </row>
    <row r="3585" spans="1:28" x14ac:dyDescent="0.15">
      <c r="A3585" s="1">
        <v>9168</v>
      </c>
      <c r="J3585" s="1" t="s">
        <v>902</v>
      </c>
      <c r="L3585" s="1" t="s">
        <v>906</v>
      </c>
      <c r="M3585" s="1" t="s">
        <v>1396</v>
      </c>
      <c r="N3585" s="1" t="s">
        <v>1399</v>
      </c>
      <c r="P3585" s="1" t="s">
        <v>6848</v>
      </c>
      <c r="Q3585" s="3">
        <v>0</v>
      </c>
      <c r="S3585" s="23" t="s">
        <v>5949</v>
      </c>
      <c r="T3585" s="23" t="s">
        <v>4929</v>
      </c>
      <c r="U3585" s="3">
        <v>34</v>
      </c>
      <c r="V3585" s="3" t="s">
        <v>6838</v>
      </c>
      <c r="W3585" s="45" t="str">
        <f>HYPERLINK("http://ictvonline.org/taxonomy/p/taxonomy-history?taxnode_id=201856403","ICTVonline=201856403")</f>
        <v>ICTVonline=201856403</v>
      </c>
      <c r="AA3585" s="1">
        <v>201850000</v>
      </c>
      <c r="AB3585" s="1">
        <v>34</v>
      </c>
    </row>
    <row r="3586" spans="1:28" x14ac:dyDescent="0.15">
      <c r="A3586" s="1">
        <v>9170</v>
      </c>
      <c r="J3586" s="1" t="s">
        <v>902</v>
      </c>
      <c r="L3586" s="1" t="s">
        <v>906</v>
      </c>
      <c r="M3586" s="1" t="s">
        <v>1396</v>
      </c>
      <c r="N3586" s="1" t="s">
        <v>1399</v>
      </c>
      <c r="P3586" s="1" t="s">
        <v>3511</v>
      </c>
      <c r="Q3586" s="3">
        <v>0</v>
      </c>
      <c r="S3586" s="23" t="s">
        <v>5949</v>
      </c>
      <c r="T3586" s="23" t="s">
        <v>4931</v>
      </c>
      <c r="U3586" s="3">
        <v>34</v>
      </c>
      <c r="V3586" s="3" t="s">
        <v>6838</v>
      </c>
      <c r="W3586" s="45" t="str">
        <f>HYPERLINK("http://ictvonline.org/taxonomy/p/taxonomy-history?taxnode_id=201851479","ICTVonline=201851479")</f>
        <v>ICTVonline=201851479</v>
      </c>
      <c r="AA3586" s="1">
        <v>201850000</v>
      </c>
      <c r="AB3586" s="1">
        <v>34</v>
      </c>
    </row>
    <row r="3587" spans="1:28" x14ac:dyDescent="0.15">
      <c r="A3587" s="1">
        <v>9173</v>
      </c>
      <c r="J3587" s="1" t="s">
        <v>902</v>
      </c>
      <c r="L3587" s="1" t="s">
        <v>906</v>
      </c>
      <c r="M3587" s="1" t="s">
        <v>1396</v>
      </c>
      <c r="P3587" s="1" t="s">
        <v>3510</v>
      </c>
      <c r="Q3587" s="3">
        <v>0</v>
      </c>
      <c r="S3587" s="23" t="s">
        <v>5949</v>
      </c>
      <c r="W3587" s="45" t="str">
        <f>HYPERLINK("http://ictvonline.org/taxonomy/p/taxonomy-history?taxnode_id=201851478","ICTVonline=201851478")</f>
        <v>ICTVonline=201851478</v>
      </c>
      <c r="AA3587" s="1">
        <v>201850000</v>
      </c>
      <c r="AB3587" s="1">
        <v>34</v>
      </c>
    </row>
    <row r="3588" spans="1:28" x14ac:dyDescent="0.15">
      <c r="A3588" s="1">
        <v>9175</v>
      </c>
      <c r="J3588" s="1" t="s">
        <v>902</v>
      </c>
      <c r="L3588" s="1" t="s">
        <v>906</v>
      </c>
      <c r="M3588" s="1" t="s">
        <v>1396</v>
      </c>
      <c r="P3588" s="1" t="s">
        <v>3512</v>
      </c>
      <c r="Q3588" s="3">
        <v>0</v>
      </c>
      <c r="S3588" s="23" t="s">
        <v>5949</v>
      </c>
      <c r="W3588" s="45" t="str">
        <f>HYPERLINK("http://ictvonline.org/taxonomy/p/taxonomy-history?taxnode_id=201851480","ICTVonline=201851480")</f>
        <v>ICTVonline=201851480</v>
      </c>
      <c r="AA3588" s="1">
        <v>201850000</v>
      </c>
      <c r="AB3588" s="1">
        <v>34</v>
      </c>
    </row>
    <row r="3589" spans="1:28" x14ac:dyDescent="0.15">
      <c r="A3589" s="1">
        <v>9180</v>
      </c>
      <c r="J3589" s="1" t="s">
        <v>902</v>
      </c>
      <c r="L3589" s="1" t="s">
        <v>906</v>
      </c>
      <c r="M3589" s="1" t="s">
        <v>1403</v>
      </c>
      <c r="N3589" s="1" t="s">
        <v>1299</v>
      </c>
      <c r="P3589" s="1" t="s">
        <v>3513</v>
      </c>
      <c r="Q3589" s="3">
        <v>0</v>
      </c>
      <c r="S3589" s="23" t="s">
        <v>5949</v>
      </c>
      <c r="W3589" s="45" t="str">
        <f>HYPERLINK("http://ictvonline.org/taxonomy/p/taxonomy-history?taxnode_id=201851483","ICTVonline=201851483")</f>
        <v>ICTVonline=201851483</v>
      </c>
      <c r="AA3589" s="1">
        <v>201850000</v>
      </c>
      <c r="AB3589" s="1">
        <v>34</v>
      </c>
    </row>
    <row r="3590" spans="1:28" x14ac:dyDescent="0.15">
      <c r="A3590" s="1">
        <v>9182</v>
      </c>
      <c r="J3590" s="1" t="s">
        <v>902</v>
      </c>
      <c r="L3590" s="1" t="s">
        <v>906</v>
      </c>
      <c r="M3590" s="1" t="s">
        <v>1403</v>
      </c>
      <c r="N3590" s="1" t="s">
        <v>1299</v>
      </c>
      <c r="P3590" s="1" t="s">
        <v>3514</v>
      </c>
      <c r="Q3590" s="3">
        <v>0</v>
      </c>
      <c r="S3590" s="23" t="s">
        <v>5949</v>
      </c>
      <c r="W3590" s="45" t="str">
        <f>HYPERLINK("http://ictvonline.org/taxonomy/p/taxonomy-history?taxnode_id=201851484","ICTVonline=201851484")</f>
        <v>ICTVonline=201851484</v>
      </c>
      <c r="AA3590" s="1">
        <v>201850000</v>
      </c>
      <c r="AB3590" s="1">
        <v>34</v>
      </c>
    </row>
    <row r="3591" spans="1:28" x14ac:dyDescent="0.15">
      <c r="A3591" s="1">
        <v>9184</v>
      </c>
      <c r="J3591" s="1" t="s">
        <v>902</v>
      </c>
      <c r="L3591" s="1" t="s">
        <v>906</v>
      </c>
      <c r="M3591" s="1" t="s">
        <v>1403</v>
      </c>
      <c r="N3591" s="1" t="s">
        <v>1299</v>
      </c>
      <c r="P3591" s="1" t="s">
        <v>3515</v>
      </c>
      <c r="Q3591" s="3">
        <v>0</v>
      </c>
      <c r="S3591" s="23" t="s">
        <v>5949</v>
      </c>
      <c r="W3591" s="45" t="str">
        <f>HYPERLINK("http://ictvonline.org/taxonomy/p/taxonomy-history?taxnode_id=201851485","ICTVonline=201851485")</f>
        <v>ICTVonline=201851485</v>
      </c>
      <c r="AA3591" s="1">
        <v>201850000</v>
      </c>
      <c r="AB3591" s="1">
        <v>34</v>
      </c>
    </row>
    <row r="3592" spans="1:28" x14ac:dyDescent="0.15">
      <c r="A3592" s="1">
        <v>9186</v>
      </c>
      <c r="J3592" s="1" t="s">
        <v>902</v>
      </c>
      <c r="L3592" s="1" t="s">
        <v>906</v>
      </c>
      <c r="M3592" s="1" t="s">
        <v>1403</v>
      </c>
      <c r="N3592" s="1" t="s">
        <v>1299</v>
      </c>
      <c r="P3592" s="1" t="s">
        <v>3516</v>
      </c>
      <c r="Q3592" s="3">
        <v>1</v>
      </c>
      <c r="S3592" s="23" t="s">
        <v>5949</v>
      </c>
      <c r="W3592" s="45" t="str">
        <f>HYPERLINK("http://ictvonline.org/taxonomy/p/taxonomy-history?taxnode_id=201851486","ICTVonline=201851486")</f>
        <v>ICTVonline=201851486</v>
      </c>
      <c r="AA3592" s="1">
        <v>201850000</v>
      </c>
      <c r="AB3592" s="1">
        <v>34</v>
      </c>
    </row>
    <row r="3593" spans="1:28" x14ac:dyDescent="0.15">
      <c r="A3593" s="1">
        <v>9188</v>
      </c>
      <c r="J3593" s="1" t="s">
        <v>902</v>
      </c>
      <c r="L3593" s="1" t="s">
        <v>906</v>
      </c>
      <c r="M3593" s="1" t="s">
        <v>1403</v>
      </c>
      <c r="N3593" s="1" t="s">
        <v>1299</v>
      </c>
      <c r="P3593" s="1" t="s">
        <v>3517</v>
      </c>
      <c r="Q3593" s="3">
        <v>0</v>
      </c>
      <c r="S3593" s="23" t="s">
        <v>5949</v>
      </c>
      <c r="W3593" s="45" t="str">
        <f>HYPERLINK("http://ictvonline.org/taxonomy/p/taxonomy-history?taxnode_id=201851487","ICTVonline=201851487")</f>
        <v>ICTVonline=201851487</v>
      </c>
      <c r="AA3593" s="1">
        <v>201850000</v>
      </c>
      <c r="AB3593" s="1">
        <v>34</v>
      </c>
    </row>
    <row r="3594" spans="1:28" x14ac:dyDescent="0.15">
      <c r="A3594" s="1">
        <v>9190</v>
      </c>
      <c r="J3594" s="1" t="s">
        <v>902</v>
      </c>
      <c r="L3594" s="1" t="s">
        <v>906</v>
      </c>
      <c r="M3594" s="1" t="s">
        <v>1403</v>
      </c>
      <c r="N3594" s="1" t="s">
        <v>1299</v>
      </c>
      <c r="P3594" s="1" t="s">
        <v>6849</v>
      </c>
      <c r="Q3594" s="3">
        <v>0</v>
      </c>
      <c r="S3594" s="23" t="s">
        <v>5949</v>
      </c>
      <c r="T3594" s="23" t="s">
        <v>4929</v>
      </c>
      <c r="U3594" s="3">
        <v>34</v>
      </c>
      <c r="V3594" s="3" t="s">
        <v>6838</v>
      </c>
      <c r="W3594" s="45" t="str">
        <f>HYPERLINK("http://ictvonline.org/taxonomy/p/taxonomy-history?taxnode_id=201856406","ICTVonline=201856406")</f>
        <v>ICTVonline=201856406</v>
      </c>
      <c r="AA3594" s="1">
        <v>201850000</v>
      </c>
      <c r="AB3594" s="1">
        <v>34</v>
      </c>
    </row>
    <row r="3595" spans="1:28" x14ac:dyDescent="0.15">
      <c r="A3595" s="1">
        <v>9192</v>
      </c>
      <c r="J3595" s="1" t="s">
        <v>902</v>
      </c>
      <c r="L3595" s="1" t="s">
        <v>906</v>
      </c>
      <c r="M3595" s="1" t="s">
        <v>1403</v>
      </c>
      <c r="N3595" s="1" t="s">
        <v>1299</v>
      </c>
      <c r="P3595" s="1" t="s">
        <v>3518</v>
      </c>
      <c r="Q3595" s="3">
        <v>0</v>
      </c>
      <c r="S3595" s="23" t="s">
        <v>5949</v>
      </c>
      <c r="W3595" s="45" t="str">
        <f>HYPERLINK("http://ictvonline.org/taxonomy/p/taxonomy-history?taxnode_id=201851488","ICTVonline=201851488")</f>
        <v>ICTVonline=201851488</v>
      </c>
      <c r="AA3595" s="1">
        <v>201850000</v>
      </c>
      <c r="AB3595" s="1">
        <v>34</v>
      </c>
    </row>
    <row r="3596" spans="1:28" x14ac:dyDescent="0.15">
      <c r="A3596" s="1">
        <v>9194</v>
      </c>
      <c r="J3596" s="1" t="s">
        <v>902</v>
      </c>
      <c r="L3596" s="1" t="s">
        <v>906</v>
      </c>
      <c r="M3596" s="1" t="s">
        <v>1403</v>
      </c>
      <c r="N3596" s="1" t="s">
        <v>1299</v>
      </c>
      <c r="P3596" s="1" t="s">
        <v>3519</v>
      </c>
      <c r="Q3596" s="3">
        <v>0</v>
      </c>
      <c r="S3596" s="23" t="s">
        <v>5949</v>
      </c>
      <c r="W3596" s="45" t="str">
        <f>HYPERLINK("http://ictvonline.org/taxonomy/p/taxonomy-history?taxnode_id=201851489","ICTVonline=201851489")</f>
        <v>ICTVonline=201851489</v>
      </c>
      <c r="AA3596" s="1">
        <v>201850000</v>
      </c>
      <c r="AB3596" s="1">
        <v>34</v>
      </c>
    </row>
    <row r="3597" spans="1:28" x14ac:dyDescent="0.15">
      <c r="A3597" s="1">
        <v>9196</v>
      </c>
      <c r="J3597" s="1" t="s">
        <v>902</v>
      </c>
      <c r="L3597" s="1" t="s">
        <v>906</v>
      </c>
      <c r="M3597" s="1" t="s">
        <v>1403</v>
      </c>
      <c r="N3597" s="1" t="s">
        <v>1299</v>
      </c>
      <c r="P3597" s="1" t="s">
        <v>3520</v>
      </c>
      <c r="Q3597" s="3">
        <v>0</v>
      </c>
      <c r="S3597" s="23" t="s">
        <v>5949</v>
      </c>
      <c r="W3597" s="45" t="str">
        <f>HYPERLINK("http://ictvonline.org/taxonomy/p/taxonomy-history?taxnode_id=201851490","ICTVonline=201851490")</f>
        <v>ICTVonline=201851490</v>
      </c>
      <c r="AA3597" s="1">
        <v>201850000</v>
      </c>
      <c r="AB3597" s="1">
        <v>34</v>
      </c>
    </row>
    <row r="3598" spans="1:28" x14ac:dyDescent="0.15">
      <c r="A3598" s="1">
        <v>9200</v>
      </c>
      <c r="J3598" s="1" t="s">
        <v>902</v>
      </c>
      <c r="L3598" s="1" t="s">
        <v>906</v>
      </c>
      <c r="M3598" s="1" t="s">
        <v>1403</v>
      </c>
      <c r="N3598" s="1" t="s">
        <v>1323</v>
      </c>
      <c r="P3598" s="1" t="s">
        <v>3521</v>
      </c>
      <c r="Q3598" s="3">
        <v>1</v>
      </c>
      <c r="S3598" s="23" t="s">
        <v>5949</v>
      </c>
      <c r="W3598" s="45" t="str">
        <f>HYPERLINK("http://ictvonline.org/taxonomy/p/taxonomy-history?taxnode_id=201851492","ICTVonline=201851492")</f>
        <v>ICTVonline=201851492</v>
      </c>
      <c r="AA3598" s="1">
        <v>201850000</v>
      </c>
      <c r="AB3598" s="1">
        <v>34</v>
      </c>
    </row>
    <row r="3599" spans="1:28" x14ac:dyDescent="0.15">
      <c r="A3599" s="1">
        <v>9202</v>
      </c>
      <c r="J3599" s="1" t="s">
        <v>902</v>
      </c>
      <c r="L3599" s="1" t="s">
        <v>906</v>
      </c>
      <c r="M3599" s="1" t="s">
        <v>1403</v>
      </c>
      <c r="N3599" s="1" t="s">
        <v>1323</v>
      </c>
      <c r="P3599" s="1" t="s">
        <v>3522</v>
      </c>
      <c r="Q3599" s="3">
        <v>0</v>
      </c>
      <c r="S3599" s="23" t="s">
        <v>5949</v>
      </c>
      <c r="W3599" s="45" t="str">
        <f>HYPERLINK("http://ictvonline.org/taxonomy/p/taxonomy-history?taxnode_id=201851493","ICTVonline=201851493")</f>
        <v>ICTVonline=201851493</v>
      </c>
      <c r="AA3599" s="1">
        <v>201850000</v>
      </c>
      <c r="AB3599" s="1">
        <v>34</v>
      </c>
    </row>
    <row r="3600" spans="1:28" x14ac:dyDescent="0.15">
      <c r="A3600" s="1">
        <v>9204</v>
      </c>
      <c r="J3600" s="1" t="s">
        <v>902</v>
      </c>
      <c r="L3600" s="1" t="s">
        <v>906</v>
      </c>
      <c r="M3600" s="1" t="s">
        <v>1403</v>
      </c>
      <c r="N3600" s="1" t="s">
        <v>1323</v>
      </c>
      <c r="P3600" s="1" t="s">
        <v>3523</v>
      </c>
      <c r="Q3600" s="3">
        <v>0</v>
      </c>
      <c r="S3600" s="23" t="s">
        <v>5949</v>
      </c>
      <c r="W3600" s="45" t="str">
        <f>HYPERLINK("http://ictvonline.org/taxonomy/p/taxonomy-history?taxnode_id=201851494","ICTVonline=201851494")</f>
        <v>ICTVonline=201851494</v>
      </c>
      <c r="AA3600" s="1">
        <v>201850000</v>
      </c>
      <c r="AB3600" s="1">
        <v>34</v>
      </c>
    </row>
    <row r="3601" spans="1:28" x14ac:dyDescent="0.15">
      <c r="A3601" s="1">
        <v>9206</v>
      </c>
      <c r="J3601" s="1" t="s">
        <v>902</v>
      </c>
      <c r="L3601" s="1" t="s">
        <v>906</v>
      </c>
      <c r="M3601" s="1" t="s">
        <v>1403</v>
      </c>
      <c r="N3601" s="1" t="s">
        <v>1323</v>
      </c>
      <c r="P3601" s="1" t="s">
        <v>3524</v>
      </c>
      <c r="Q3601" s="3">
        <v>0</v>
      </c>
      <c r="S3601" s="23" t="s">
        <v>5949</v>
      </c>
      <c r="W3601" s="45" t="str">
        <f>HYPERLINK("http://ictvonline.org/taxonomy/p/taxonomy-history?taxnode_id=201851495","ICTVonline=201851495")</f>
        <v>ICTVonline=201851495</v>
      </c>
      <c r="AA3601" s="1">
        <v>201850000</v>
      </c>
      <c r="AB3601" s="1">
        <v>34</v>
      </c>
    </row>
    <row r="3602" spans="1:28" x14ac:dyDescent="0.15">
      <c r="A3602" s="1">
        <v>9208</v>
      </c>
      <c r="J3602" s="1" t="s">
        <v>902</v>
      </c>
      <c r="L3602" s="1" t="s">
        <v>906</v>
      </c>
      <c r="M3602" s="1" t="s">
        <v>1403</v>
      </c>
      <c r="N3602" s="1" t="s">
        <v>1323</v>
      </c>
      <c r="P3602" s="1" t="s">
        <v>3525</v>
      </c>
      <c r="Q3602" s="3">
        <v>0</v>
      </c>
      <c r="S3602" s="23" t="s">
        <v>5949</v>
      </c>
      <c r="W3602" s="45" t="str">
        <f>HYPERLINK("http://ictvonline.org/taxonomy/p/taxonomy-history?taxnode_id=201851496","ICTVonline=201851496")</f>
        <v>ICTVonline=201851496</v>
      </c>
      <c r="AA3602" s="1">
        <v>201850000</v>
      </c>
      <c r="AB3602" s="1">
        <v>34</v>
      </c>
    </row>
    <row r="3603" spans="1:28" x14ac:dyDescent="0.15">
      <c r="A3603" s="1">
        <v>9210</v>
      </c>
      <c r="J3603" s="1" t="s">
        <v>902</v>
      </c>
      <c r="L3603" s="1" t="s">
        <v>906</v>
      </c>
      <c r="M3603" s="1" t="s">
        <v>1403</v>
      </c>
      <c r="N3603" s="1" t="s">
        <v>1323</v>
      </c>
      <c r="P3603" s="1" t="s">
        <v>3526</v>
      </c>
      <c r="Q3603" s="3">
        <v>0</v>
      </c>
      <c r="S3603" s="23" t="s">
        <v>5949</v>
      </c>
      <c r="W3603" s="45" t="str">
        <f>HYPERLINK("http://ictvonline.org/taxonomy/p/taxonomy-history?taxnode_id=201851497","ICTVonline=201851497")</f>
        <v>ICTVonline=201851497</v>
      </c>
      <c r="AA3603" s="1">
        <v>201850000</v>
      </c>
      <c r="AB3603" s="1">
        <v>34</v>
      </c>
    </row>
    <row r="3604" spans="1:28" x14ac:dyDescent="0.15">
      <c r="A3604" s="1">
        <v>9212</v>
      </c>
      <c r="J3604" s="1" t="s">
        <v>902</v>
      </c>
      <c r="L3604" s="1" t="s">
        <v>906</v>
      </c>
      <c r="M3604" s="1" t="s">
        <v>1403</v>
      </c>
      <c r="N3604" s="1" t="s">
        <v>1323</v>
      </c>
      <c r="P3604" s="1" t="s">
        <v>3527</v>
      </c>
      <c r="Q3604" s="3">
        <v>0</v>
      </c>
      <c r="S3604" s="23" t="s">
        <v>5949</v>
      </c>
      <c r="W3604" s="45" t="str">
        <f>HYPERLINK("http://ictvonline.org/taxonomy/p/taxonomy-history?taxnode_id=201851498","ICTVonline=201851498")</f>
        <v>ICTVonline=201851498</v>
      </c>
      <c r="AA3604" s="1">
        <v>201850000</v>
      </c>
      <c r="AB3604" s="1">
        <v>34</v>
      </c>
    </row>
    <row r="3605" spans="1:28" x14ac:dyDescent="0.15">
      <c r="A3605" s="1">
        <v>9214</v>
      </c>
      <c r="J3605" s="1" t="s">
        <v>902</v>
      </c>
      <c r="L3605" s="1" t="s">
        <v>906</v>
      </c>
      <c r="M3605" s="1" t="s">
        <v>1403</v>
      </c>
      <c r="N3605" s="1" t="s">
        <v>1323</v>
      </c>
      <c r="P3605" s="1" t="s">
        <v>3528</v>
      </c>
      <c r="Q3605" s="3">
        <v>0</v>
      </c>
      <c r="S3605" s="23" t="s">
        <v>5949</v>
      </c>
      <c r="W3605" s="45" t="str">
        <f>HYPERLINK("http://ictvonline.org/taxonomy/p/taxonomy-history?taxnode_id=201851499","ICTVonline=201851499")</f>
        <v>ICTVonline=201851499</v>
      </c>
      <c r="AA3605" s="1">
        <v>201850000</v>
      </c>
      <c r="AB3605" s="1">
        <v>34</v>
      </c>
    </row>
    <row r="3606" spans="1:28" x14ac:dyDescent="0.15">
      <c r="A3606" s="1">
        <v>9216</v>
      </c>
      <c r="J3606" s="1" t="s">
        <v>902</v>
      </c>
      <c r="L3606" s="1" t="s">
        <v>906</v>
      </c>
      <c r="M3606" s="1" t="s">
        <v>1403</v>
      </c>
      <c r="N3606" s="1" t="s">
        <v>1323</v>
      </c>
      <c r="P3606" s="1" t="s">
        <v>3529</v>
      </c>
      <c r="Q3606" s="3">
        <v>0</v>
      </c>
      <c r="S3606" s="23" t="s">
        <v>5949</v>
      </c>
      <c r="W3606" s="45" t="str">
        <f>HYPERLINK("http://ictvonline.org/taxonomy/p/taxonomy-history?taxnode_id=201851500","ICTVonline=201851500")</f>
        <v>ICTVonline=201851500</v>
      </c>
      <c r="AA3606" s="1">
        <v>201850000</v>
      </c>
      <c r="AB3606" s="1">
        <v>34</v>
      </c>
    </row>
    <row r="3607" spans="1:28" x14ac:dyDescent="0.15">
      <c r="A3607" s="1">
        <v>9220</v>
      </c>
      <c r="J3607" s="1" t="s">
        <v>902</v>
      </c>
      <c r="L3607" s="1" t="s">
        <v>906</v>
      </c>
      <c r="M3607" s="1" t="s">
        <v>1403</v>
      </c>
      <c r="N3607" s="1" t="s">
        <v>1292</v>
      </c>
      <c r="P3607" s="1" t="s">
        <v>3530</v>
      </c>
      <c r="Q3607" s="3">
        <v>1</v>
      </c>
      <c r="S3607" s="23" t="s">
        <v>5949</v>
      </c>
      <c r="W3607" s="45" t="str">
        <f>HYPERLINK("http://ictvonline.org/taxonomy/p/taxonomy-history?taxnode_id=201851502","ICTVonline=201851502")</f>
        <v>ICTVonline=201851502</v>
      </c>
      <c r="AA3607" s="1">
        <v>201850000</v>
      </c>
      <c r="AB3607" s="1">
        <v>34</v>
      </c>
    </row>
    <row r="3608" spans="1:28" x14ac:dyDescent="0.15">
      <c r="A3608" s="1">
        <v>9222</v>
      </c>
      <c r="J3608" s="1" t="s">
        <v>902</v>
      </c>
      <c r="L3608" s="1" t="s">
        <v>906</v>
      </c>
      <c r="M3608" s="1" t="s">
        <v>1403</v>
      </c>
      <c r="N3608" s="1" t="s">
        <v>1292</v>
      </c>
      <c r="P3608" s="1" t="s">
        <v>3531</v>
      </c>
      <c r="Q3608" s="3">
        <v>0</v>
      </c>
      <c r="S3608" s="23" t="s">
        <v>5949</v>
      </c>
      <c r="W3608" s="45" t="str">
        <f>HYPERLINK("http://ictvonline.org/taxonomy/p/taxonomy-history?taxnode_id=201851503","ICTVonline=201851503")</f>
        <v>ICTVonline=201851503</v>
      </c>
      <c r="AA3608" s="1">
        <v>201850000</v>
      </c>
      <c r="AB3608" s="1">
        <v>34</v>
      </c>
    </row>
    <row r="3609" spans="1:28" x14ac:dyDescent="0.15">
      <c r="A3609" s="1">
        <v>9224</v>
      </c>
      <c r="J3609" s="1" t="s">
        <v>902</v>
      </c>
      <c r="L3609" s="1" t="s">
        <v>906</v>
      </c>
      <c r="M3609" s="1" t="s">
        <v>1403</v>
      </c>
      <c r="N3609" s="1" t="s">
        <v>1292</v>
      </c>
      <c r="P3609" s="1" t="s">
        <v>6850</v>
      </c>
      <c r="Q3609" s="3">
        <v>0</v>
      </c>
      <c r="S3609" s="23" t="s">
        <v>5949</v>
      </c>
      <c r="T3609" s="23" t="s">
        <v>4929</v>
      </c>
      <c r="U3609" s="3">
        <v>34</v>
      </c>
      <c r="V3609" s="3" t="s">
        <v>6838</v>
      </c>
      <c r="W3609" s="45" t="str">
        <f>HYPERLINK("http://ictvonline.org/taxonomy/p/taxonomy-history?taxnode_id=201856410","ICTVonline=201856410")</f>
        <v>ICTVonline=201856410</v>
      </c>
      <c r="AA3609" s="1">
        <v>201850000</v>
      </c>
      <c r="AB3609" s="1">
        <v>34</v>
      </c>
    </row>
    <row r="3610" spans="1:28" x14ac:dyDescent="0.15">
      <c r="A3610" s="1">
        <v>9226</v>
      </c>
      <c r="J3610" s="1" t="s">
        <v>902</v>
      </c>
      <c r="L3610" s="1" t="s">
        <v>906</v>
      </c>
      <c r="M3610" s="1" t="s">
        <v>1403</v>
      </c>
      <c r="N3610" s="1" t="s">
        <v>1292</v>
      </c>
      <c r="P3610" s="1" t="s">
        <v>3532</v>
      </c>
      <c r="Q3610" s="3">
        <v>0</v>
      </c>
      <c r="S3610" s="23" t="s">
        <v>5949</v>
      </c>
      <c r="W3610" s="45" t="str">
        <f>HYPERLINK("http://ictvonline.org/taxonomy/p/taxonomy-history?taxnode_id=201851504","ICTVonline=201851504")</f>
        <v>ICTVonline=201851504</v>
      </c>
      <c r="AA3610" s="1">
        <v>201850000</v>
      </c>
      <c r="AB3610" s="1">
        <v>34</v>
      </c>
    </row>
    <row r="3611" spans="1:28" x14ac:dyDescent="0.15">
      <c r="A3611" s="1">
        <v>9228</v>
      </c>
      <c r="J3611" s="1" t="s">
        <v>902</v>
      </c>
      <c r="L3611" s="1" t="s">
        <v>906</v>
      </c>
      <c r="M3611" s="1" t="s">
        <v>1403</v>
      </c>
      <c r="N3611" s="1" t="s">
        <v>1292</v>
      </c>
      <c r="P3611" s="1" t="s">
        <v>6851</v>
      </c>
      <c r="Q3611" s="3">
        <v>0</v>
      </c>
      <c r="S3611" s="23" t="s">
        <v>5949</v>
      </c>
      <c r="T3611" s="23" t="s">
        <v>4929</v>
      </c>
      <c r="U3611" s="3">
        <v>34</v>
      </c>
      <c r="V3611" s="3" t="s">
        <v>6838</v>
      </c>
      <c r="W3611" s="45" t="str">
        <f>HYPERLINK("http://ictvonline.org/taxonomy/p/taxonomy-history?taxnode_id=201856411","ICTVonline=201856411")</f>
        <v>ICTVonline=201856411</v>
      </c>
      <c r="AA3611" s="1">
        <v>201850000</v>
      </c>
      <c r="AB3611" s="1">
        <v>34</v>
      </c>
    </row>
    <row r="3612" spans="1:28" x14ac:dyDescent="0.15">
      <c r="A3612" s="1">
        <v>9230</v>
      </c>
      <c r="J3612" s="1" t="s">
        <v>902</v>
      </c>
      <c r="L3612" s="1" t="s">
        <v>906</v>
      </c>
      <c r="M3612" s="1" t="s">
        <v>1403</v>
      </c>
      <c r="N3612" s="1" t="s">
        <v>1292</v>
      </c>
      <c r="P3612" s="1" t="s">
        <v>6852</v>
      </c>
      <c r="Q3612" s="3">
        <v>0</v>
      </c>
      <c r="S3612" s="23" t="s">
        <v>5949</v>
      </c>
      <c r="T3612" s="23" t="s">
        <v>4929</v>
      </c>
      <c r="U3612" s="3">
        <v>34</v>
      </c>
      <c r="V3612" s="3" t="s">
        <v>6838</v>
      </c>
      <c r="W3612" s="45" t="str">
        <f>HYPERLINK("http://ictvonline.org/taxonomy/p/taxonomy-history?taxnode_id=201856412","ICTVonline=201856412")</f>
        <v>ICTVonline=201856412</v>
      </c>
      <c r="AA3612" s="1">
        <v>201850000</v>
      </c>
      <c r="AB3612" s="1">
        <v>34</v>
      </c>
    </row>
    <row r="3613" spans="1:28" x14ac:dyDescent="0.15">
      <c r="A3613" s="1">
        <v>9234</v>
      </c>
      <c r="J3613" s="1" t="s">
        <v>902</v>
      </c>
      <c r="L3613" s="1" t="s">
        <v>906</v>
      </c>
      <c r="M3613" s="1" t="s">
        <v>1403</v>
      </c>
      <c r="N3613" s="1" t="s">
        <v>1293</v>
      </c>
      <c r="P3613" s="1" t="s">
        <v>3533</v>
      </c>
      <c r="Q3613" s="3">
        <v>0</v>
      </c>
      <c r="S3613" s="23" t="s">
        <v>5949</v>
      </c>
      <c r="W3613" s="45" t="str">
        <f>HYPERLINK("http://ictvonline.org/taxonomy/p/taxonomy-history?taxnode_id=201851506","ICTVonline=201851506")</f>
        <v>ICTVonline=201851506</v>
      </c>
      <c r="AA3613" s="1">
        <v>201850000</v>
      </c>
      <c r="AB3613" s="1">
        <v>34</v>
      </c>
    </row>
    <row r="3614" spans="1:28" x14ac:dyDescent="0.15">
      <c r="A3614" s="1">
        <v>9236</v>
      </c>
      <c r="J3614" s="1" t="s">
        <v>902</v>
      </c>
      <c r="L3614" s="1" t="s">
        <v>906</v>
      </c>
      <c r="M3614" s="1" t="s">
        <v>1403</v>
      </c>
      <c r="N3614" s="1" t="s">
        <v>1293</v>
      </c>
      <c r="P3614" s="1" t="s">
        <v>3534</v>
      </c>
      <c r="Q3614" s="3">
        <v>0</v>
      </c>
      <c r="S3614" s="23" t="s">
        <v>5949</v>
      </c>
      <c r="W3614" s="45" t="str">
        <f>HYPERLINK("http://ictvonline.org/taxonomy/p/taxonomy-history?taxnode_id=201851507","ICTVonline=201851507")</f>
        <v>ICTVonline=201851507</v>
      </c>
      <c r="AA3614" s="1">
        <v>201850000</v>
      </c>
      <c r="AB3614" s="1">
        <v>34</v>
      </c>
    </row>
    <row r="3615" spans="1:28" x14ac:dyDescent="0.15">
      <c r="A3615" s="1">
        <v>9238</v>
      </c>
      <c r="J3615" s="1" t="s">
        <v>902</v>
      </c>
      <c r="L3615" s="1" t="s">
        <v>906</v>
      </c>
      <c r="M3615" s="1" t="s">
        <v>1403</v>
      </c>
      <c r="N3615" s="1" t="s">
        <v>1293</v>
      </c>
      <c r="P3615" s="1" t="s">
        <v>3535</v>
      </c>
      <c r="Q3615" s="3">
        <v>0</v>
      </c>
      <c r="S3615" s="23" t="s">
        <v>5949</v>
      </c>
      <c r="W3615" s="45" t="str">
        <f>HYPERLINK("http://ictvonline.org/taxonomy/p/taxonomy-history?taxnode_id=201851508","ICTVonline=201851508")</f>
        <v>ICTVonline=201851508</v>
      </c>
      <c r="AA3615" s="1">
        <v>201850000</v>
      </c>
      <c r="AB3615" s="1">
        <v>34</v>
      </c>
    </row>
    <row r="3616" spans="1:28" x14ac:dyDescent="0.15">
      <c r="A3616" s="1">
        <v>9240</v>
      </c>
      <c r="J3616" s="1" t="s">
        <v>902</v>
      </c>
      <c r="L3616" s="1" t="s">
        <v>906</v>
      </c>
      <c r="M3616" s="1" t="s">
        <v>1403</v>
      </c>
      <c r="N3616" s="1" t="s">
        <v>1293</v>
      </c>
      <c r="P3616" s="1" t="s">
        <v>3536</v>
      </c>
      <c r="Q3616" s="3">
        <v>0</v>
      </c>
      <c r="S3616" s="23" t="s">
        <v>5949</v>
      </c>
      <c r="W3616" s="45" t="str">
        <f>HYPERLINK("http://ictvonline.org/taxonomy/p/taxonomy-history?taxnode_id=201851509","ICTVonline=201851509")</f>
        <v>ICTVonline=201851509</v>
      </c>
      <c r="AA3616" s="1">
        <v>201850000</v>
      </c>
      <c r="AB3616" s="1">
        <v>34</v>
      </c>
    </row>
    <row r="3617" spans="1:28" x14ac:dyDescent="0.15">
      <c r="A3617" s="1">
        <v>9242</v>
      </c>
      <c r="J3617" s="1" t="s">
        <v>902</v>
      </c>
      <c r="L3617" s="1" t="s">
        <v>906</v>
      </c>
      <c r="M3617" s="1" t="s">
        <v>1403</v>
      </c>
      <c r="N3617" s="1" t="s">
        <v>1293</v>
      </c>
      <c r="P3617" s="1" t="s">
        <v>3537</v>
      </c>
      <c r="Q3617" s="3">
        <v>0</v>
      </c>
      <c r="S3617" s="23" t="s">
        <v>5949</v>
      </c>
      <c r="W3617" s="45" t="str">
        <f>HYPERLINK("http://ictvonline.org/taxonomy/p/taxonomy-history?taxnode_id=201851510","ICTVonline=201851510")</f>
        <v>ICTVonline=201851510</v>
      </c>
      <c r="AA3617" s="1">
        <v>201850000</v>
      </c>
      <c r="AB3617" s="1">
        <v>34</v>
      </c>
    </row>
    <row r="3618" spans="1:28" x14ac:dyDescent="0.15">
      <c r="A3618" s="1">
        <v>9244</v>
      </c>
      <c r="J3618" s="1" t="s">
        <v>902</v>
      </c>
      <c r="L3618" s="1" t="s">
        <v>906</v>
      </c>
      <c r="M3618" s="1" t="s">
        <v>1403</v>
      </c>
      <c r="N3618" s="1" t="s">
        <v>1293</v>
      </c>
      <c r="P3618" s="1" t="s">
        <v>3538</v>
      </c>
      <c r="Q3618" s="3">
        <v>0</v>
      </c>
      <c r="S3618" s="23" t="s">
        <v>5949</v>
      </c>
      <c r="W3618" s="45" t="str">
        <f>HYPERLINK("http://ictvonline.org/taxonomy/p/taxonomy-history?taxnode_id=201851511","ICTVonline=201851511")</f>
        <v>ICTVonline=201851511</v>
      </c>
      <c r="AA3618" s="1">
        <v>201850000</v>
      </c>
      <c r="AB3618" s="1">
        <v>34</v>
      </c>
    </row>
    <row r="3619" spans="1:28" x14ac:dyDescent="0.15">
      <c r="A3619" s="1">
        <v>9246</v>
      </c>
      <c r="J3619" s="1" t="s">
        <v>902</v>
      </c>
      <c r="L3619" s="1" t="s">
        <v>906</v>
      </c>
      <c r="M3619" s="1" t="s">
        <v>1403</v>
      </c>
      <c r="N3619" s="1" t="s">
        <v>1293</v>
      </c>
      <c r="P3619" s="1" t="s">
        <v>6853</v>
      </c>
      <c r="Q3619" s="3">
        <v>0</v>
      </c>
      <c r="S3619" s="23" t="s">
        <v>5949</v>
      </c>
      <c r="T3619" s="23" t="s">
        <v>4929</v>
      </c>
      <c r="U3619" s="3">
        <v>34</v>
      </c>
      <c r="V3619" s="3" t="s">
        <v>6838</v>
      </c>
      <c r="W3619" s="45" t="str">
        <f>HYPERLINK("http://ictvonline.org/taxonomy/p/taxonomy-history?taxnode_id=201856407","ICTVonline=201856407")</f>
        <v>ICTVonline=201856407</v>
      </c>
      <c r="AA3619" s="1">
        <v>201850000</v>
      </c>
      <c r="AB3619" s="1">
        <v>34</v>
      </c>
    </row>
    <row r="3620" spans="1:28" x14ac:dyDescent="0.15">
      <c r="A3620" s="1">
        <v>9248</v>
      </c>
      <c r="J3620" s="1" t="s">
        <v>902</v>
      </c>
      <c r="L3620" s="1" t="s">
        <v>906</v>
      </c>
      <c r="M3620" s="1" t="s">
        <v>1403</v>
      </c>
      <c r="N3620" s="1" t="s">
        <v>1293</v>
      </c>
      <c r="P3620" s="1" t="s">
        <v>6854</v>
      </c>
      <c r="Q3620" s="3">
        <v>0</v>
      </c>
      <c r="S3620" s="23" t="s">
        <v>5949</v>
      </c>
      <c r="T3620" s="23" t="s">
        <v>4929</v>
      </c>
      <c r="U3620" s="3">
        <v>34</v>
      </c>
      <c r="V3620" s="3" t="s">
        <v>6838</v>
      </c>
      <c r="W3620" s="45" t="str">
        <f>HYPERLINK("http://ictvonline.org/taxonomy/p/taxonomy-history?taxnode_id=201856408","ICTVonline=201856408")</f>
        <v>ICTVonline=201856408</v>
      </c>
      <c r="AA3620" s="1">
        <v>201850000</v>
      </c>
      <c r="AB3620" s="1">
        <v>34</v>
      </c>
    </row>
    <row r="3621" spans="1:28" x14ac:dyDescent="0.15">
      <c r="A3621" s="1">
        <v>9250</v>
      </c>
      <c r="J3621" s="1" t="s">
        <v>902</v>
      </c>
      <c r="L3621" s="1" t="s">
        <v>906</v>
      </c>
      <c r="M3621" s="1" t="s">
        <v>1403</v>
      </c>
      <c r="N3621" s="1" t="s">
        <v>1293</v>
      </c>
      <c r="P3621" s="1" t="s">
        <v>6855</v>
      </c>
      <c r="Q3621" s="3">
        <v>0</v>
      </c>
      <c r="S3621" s="23" t="s">
        <v>5949</v>
      </c>
      <c r="T3621" s="23" t="s">
        <v>4929</v>
      </c>
      <c r="U3621" s="3">
        <v>34</v>
      </c>
      <c r="V3621" s="3" t="s">
        <v>6838</v>
      </c>
      <c r="W3621" s="45" t="str">
        <f>HYPERLINK("http://ictvonline.org/taxonomy/p/taxonomy-history?taxnode_id=201856409","ICTVonline=201856409")</f>
        <v>ICTVonline=201856409</v>
      </c>
      <c r="AA3621" s="1">
        <v>201850000</v>
      </c>
      <c r="AB3621" s="1">
        <v>34</v>
      </c>
    </row>
    <row r="3622" spans="1:28" x14ac:dyDescent="0.15">
      <c r="A3622" s="1">
        <v>9252</v>
      </c>
      <c r="J3622" s="1" t="s">
        <v>902</v>
      </c>
      <c r="L3622" s="1" t="s">
        <v>906</v>
      </c>
      <c r="M3622" s="1" t="s">
        <v>1403</v>
      </c>
      <c r="N3622" s="1" t="s">
        <v>1293</v>
      </c>
      <c r="P3622" s="1" t="s">
        <v>3539</v>
      </c>
      <c r="Q3622" s="3">
        <v>0</v>
      </c>
      <c r="S3622" s="23" t="s">
        <v>5949</v>
      </c>
      <c r="W3622" s="45" t="str">
        <f>HYPERLINK("http://ictvonline.org/taxonomy/p/taxonomy-history?taxnode_id=201851512","ICTVonline=201851512")</f>
        <v>ICTVonline=201851512</v>
      </c>
      <c r="AA3622" s="1">
        <v>201850000</v>
      </c>
      <c r="AB3622" s="1">
        <v>34</v>
      </c>
    </row>
    <row r="3623" spans="1:28" x14ac:dyDescent="0.15">
      <c r="A3623" s="1">
        <v>9254</v>
      </c>
      <c r="J3623" s="1" t="s">
        <v>902</v>
      </c>
      <c r="L3623" s="1" t="s">
        <v>906</v>
      </c>
      <c r="M3623" s="1" t="s">
        <v>1403</v>
      </c>
      <c r="N3623" s="1" t="s">
        <v>1293</v>
      </c>
      <c r="P3623" s="1" t="s">
        <v>3540</v>
      </c>
      <c r="Q3623" s="3">
        <v>0</v>
      </c>
      <c r="S3623" s="23" t="s">
        <v>5949</v>
      </c>
      <c r="W3623" s="45" t="str">
        <f>HYPERLINK("http://ictvonline.org/taxonomy/p/taxonomy-history?taxnode_id=201851513","ICTVonline=201851513")</f>
        <v>ICTVonline=201851513</v>
      </c>
      <c r="AA3623" s="1">
        <v>201850000</v>
      </c>
      <c r="AB3623" s="1">
        <v>34</v>
      </c>
    </row>
    <row r="3624" spans="1:28" x14ac:dyDescent="0.15">
      <c r="A3624" s="1">
        <v>9256</v>
      </c>
      <c r="J3624" s="1" t="s">
        <v>902</v>
      </c>
      <c r="L3624" s="1" t="s">
        <v>906</v>
      </c>
      <c r="M3624" s="1" t="s">
        <v>1403</v>
      </c>
      <c r="N3624" s="1" t="s">
        <v>1293</v>
      </c>
      <c r="P3624" s="1" t="s">
        <v>3541</v>
      </c>
      <c r="Q3624" s="3">
        <v>1</v>
      </c>
      <c r="S3624" s="23" t="s">
        <v>5949</v>
      </c>
      <c r="W3624" s="45" t="str">
        <f>HYPERLINK("http://ictvonline.org/taxonomy/p/taxonomy-history?taxnode_id=201851514","ICTVonline=201851514")</f>
        <v>ICTVonline=201851514</v>
      </c>
      <c r="AA3624" s="1">
        <v>201850000</v>
      </c>
      <c r="AB3624" s="1">
        <v>34</v>
      </c>
    </row>
    <row r="3625" spans="1:28" x14ac:dyDescent="0.15">
      <c r="A3625" s="1">
        <v>9259</v>
      </c>
      <c r="J3625" s="1" t="s">
        <v>902</v>
      </c>
      <c r="L3625" s="1" t="s">
        <v>906</v>
      </c>
      <c r="M3625" s="1" t="s">
        <v>1403</v>
      </c>
      <c r="P3625" s="1" t="s">
        <v>3542</v>
      </c>
      <c r="Q3625" s="3">
        <v>0</v>
      </c>
      <c r="S3625" s="23" t="s">
        <v>5949</v>
      </c>
      <c r="W3625" s="45" t="str">
        <f>HYPERLINK("http://ictvonline.org/taxonomy/p/taxonomy-history?taxnode_id=201851516","ICTVonline=201851516")</f>
        <v>ICTVonline=201851516</v>
      </c>
      <c r="AA3625" s="1">
        <v>201850000</v>
      </c>
      <c r="AB3625" s="1">
        <v>34</v>
      </c>
    </row>
    <row r="3626" spans="1:28" x14ac:dyDescent="0.15">
      <c r="A3626" s="1">
        <v>9261</v>
      </c>
      <c r="J3626" s="1" t="s">
        <v>902</v>
      </c>
      <c r="L3626" s="1" t="s">
        <v>906</v>
      </c>
      <c r="M3626" s="1" t="s">
        <v>1403</v>
      </c>
      <c r="P3626" s="1" t="s">
        <v>3543</v>
      </c>
      <c r="Q3626" s="3">
        <v>0</v>
      </c>
      <c r="S3626" s="23" t="s">
        <v>5949</v>
      </c>
      <c r="W3626" s="45" t="str">
        <f>HYPERLINK("http://ictvonline.org/taxonomy/p/taxonomy-history?taxnode_id=201851517","ICTVonline=201851517")</f>
        <v>ICTVonline=201851517</v>
      </c>
      <c r="AA3626" s="1">
        <v>201850000</v>
      </c>
      <c r="AB3626" s="1">
        <v>34</v>
      </c>
    </row>
    <row r="3627" spans="1:28" x14ac:dyDescent="0.15">
      <c r="A3627" s="1">
        <v>9263</v>
      </c>
      <c r="J3627" s="1" t="s">
        <v>902</v>
      </c>
      <c r="L3627" s="1" t="s">
        <v>906</v>
      </c>
      <c r="M3627" s="1" t="s">
        <v>1403</v>
      </c>
      <c r="P3627" s="1" t="s">
        <v>3544</v>
      </c>
      <c r="Q3627" s="3">
        <v>0</v>
      </c>
      <c r="S3627" s="23" t="s">
        <v>5949</v>
      </c>
      <c r="W3627" s="45" t="str">
        <f>HYPERLINK("http://ictvonline.org/taxonomy/p/taxonomy-history?taxnode_id=201851518","ICTVonline=201851518")</f>
        <v>ICTVonline=201851518</v>
      </c>
      <c r="AA3627" s="1">
        <v>201850000</v>
      </c>
      <c r="AB3627" s="1">
        <v>34</v>
      </c>
    </row>
    <row r="3628" spans="1:28" x14ac:dyDescent="0.15">
      <c r="A3628" s="1">
        <v>9266</v>
      </c>
      <c r="J3628" s="1" t="s">
        <v>902</v>
      </c>
      <c r="L3628" s="1" t="s">
        <v>906</v>
      </c>
      <c r="P3628" s="1" t="s">
        <v>1002</v>
      </c>
      <c r="Q3628" s="3">
        <v>0</v>
      </c>
      <c r="S3628" s="23" t="s">
        <v>5949</v>
      </c>
      <c r="W3628" s="45" t="str">
        <f>HYPERLINK("http://ictvonline.org/taxonomy/p/taxonomy-history?taxnode_id=201851521","ICTVonline=201851521")</f>
        <v>ICTVonline=201851521</v>
      </c>
      <c r="AA3628" s="1">
        <v>201850000</v>
      </c>
      <c r="AB3628" s="1">
        <v>34</v>
      </c>
    </row>
    <row r="3629" spans="1:28" x14ac:dyDescent="0.15">
      <c r="A3629" s="1">
        <v>9271</v>
      </c>
      <c r="J3629" s="1" t="s">
        <v>902</v>
      </c>
      <c r="L3629" s="1" t="s">
        <v>1078</v>
      </c>
      <c r="N3629" s="1" t="s">
        <v>2154</v>
      </c>
      <c r="P3629" s="1" t="s">
        <v>2155</v>
      </c>
      <c r="Q3629" s="3">
        <v>1</v>
      </c>
      <c r="S3629" s="23" t="s">
        <v>5949</v>
      </c>
      <c r="W3629" s="45" t="str">
        <f>HYPERLINK("http://ictvonline.org/taxonomy/p/taxonomy-history?taxnode_id=201851525","ICTVonline=201851525")</f>
        <v>ICTVonline=201851525</v>
      </c>
      <c r="AA3629" s="1">
        <v>201850000</v>
      </c>
      <c r="AB3629" s="1">
        <v>34</v>
      </c>
    </row>
    <row r="3630" spans="1:28" x14ac:dyDescent="0.15">
      <c r="A3630" s="1">
        <v>9275</v>
      </c>
      <c r="J3630" s="1" t="s">
        <v>902</v>
      </c>
      <c r="L3630" s="1" t="s">
        <v>1078</v>
      </c>
      <c r="N3630" s="1" t="s">
        <v>1003</v>
      </c>
      <c r="P3630" s="1" t="s">
        <v>1004</v>
      </c>
      <c r="Q3630" s="3">
        <v>1</v>
      </c>
      <c r="S3630" s="23" t="s">
        <v>5949</v>
      </c>
      <c r="W3630" s="45" t="str">
        <f>HYPERLINK("http://ictvonline.org/taxonomy/p/taxonomy-history?taxnode_id=201851527","ICTVonline=201851527")</f>
        <v>ICTVonline=201851527</v>
      </c>
      <c r="AA3630" s="1">
        <v>201850000</v>
      </c>
      <c r="AB3630" s="1">
        <v>34</v>
      </c>
    </row>
    <row r="3631" spans="1:28" x14ac:dyDescent="0.15">
      <c r="A3631" s="1">
        <v>9283</v>
      </c>
      <c r="J3631" s="1" t="s">
        <v>2156</v>
      </c>
      <c r="L3631" s="1" t="s">
        <v>1625</v>
      </c>
      <c r="N3631" s="1" t="s">
        <v>1627</v>
      </c>
      <c r="P3631" s="1" t="s">
        <v>661</v>
      </c>
      <c r="Q3631" s="3">
        <v>0</v>
      </c>
      <c r="S3631" s="23" t="s">
        <v>5949</v>
      </c>
      <c r="W3631" s="45" t="str">
        <f>HYPERLINK("http://ictvonline.org/taxonomy/p/taxonomy-history?taxnode_id=201851532","ICTVonline=201851532")</f>
        <v>ICTVonline=201851532</v>
      </c>
      <c r="AA3631" s="1">
        <v>201850000</v>
      </c>
      <c r="AB3631" s="1">
        <v>34</v>
      </c>
    </row>
    <row r="3632" spans="1:28" x14ac:dyDescent="0.15">
      <c r="A3632" s="1">
        <v>9285</v>
      </c>
      <c r="J3632" s="1" t="s">
        <v>2156</v>
      </c>
      <c r="L3632" s="1" t="s">
        <v>1625</v>
      </c>
      <c r="N3632" s="1" t="s">
        <v>1627</v>
      </c>
      <c r="P3632" s="1" t="s">
        <v>660</v>
      </c>
      <c r="Q3632" s="3">
        <v>0</v>
      </c>
      <c r="S3632" s="23" t="s">
        <v>5949</v>
      </c>
      <c r="W3632" s="45" t="str">
        <f>HYPERLINK("http://ictvonline.org/taxonomy/p/taxonomy-history?taxnode_id=201851533","ICTVonline=201851533")</f>
        <v>ICTVonline=201851533</v>
      </c>
      <c r="AA3632" s="1">
        <v>201850000</v>
      </c>
      <c r="AB3632" s="1">
        <v>34</v>
      </c>
    </row>
    <row r="3633" spans="1:28" x14ac:dyDescent="0.15">
      <c r="A3633" s="1">
        <v>9287</v>
      </c>
      <c r="J3633" s="1" t="s">
        <v>2156</v>
      </c>
      <c r="L3633" s="1" t="s">
        <v>1625</v>
      </c>
      <c r="N3633" s="1" t="s">
        <v>1627</v>
      </c>
      <c r="P3633" s="1" t="s">
        <v>659</v>
      </c>
      <c r="Q3633" s="3">
        <v>0</v>
      </c>
      <c r="S3633" s="23" t="s">
        <v>5949</v>
      </c>
      <c r="W3633" s="45" t="str">
        <f>HYPERLINK("http://ictvonline.org/taxonomy/p/taxonomy-history?taxnode_id=201851534","ICTVonline=201851534")</f>
        <v>ICTVonline=201851534</v>
      </c>
      <c r="AA3633" s="1">
        <v>201850000</v>
      </c>
      <c r="AB3633" s="1">
        <v>34</v>
      </c>
    </row>
    <row r="3634" spans="1:28" x14ac:dyDescent="0.15">
      <c r="A3634" s="1">
        <v>9289</v>
      </c>
      <c r="J3634" s="1" t="s">
        <v>2156</v>
      </c>
      <c r="L3634" s="1" t="s">
        <v>1625</v>
      </c>
      <c r="N3634" s="1" t="s">
        <v>1627</v>
      </c>
      <c r="P3634" s="1" t="s">
        <v>1790</v>
      </c>
      <c r="Q3634" s="3">
        <v>0</v>
      </c>
      <c r="S3634" s="23" t="s">
        <v>5949</v>
      </c>
      <c r="W3634" s="45" t="str">
        <f>HYPERLINK("http://ictvonline.org/taxonomy/p/taxonomy-history?taxnode_id=201851535","ICTVonline=201851535")</f>
        <v>ICTVonline=201851535</v>
      </c>
      <c r="AA3634" s="1">
        <v>201850000</v>
      </c>
      <c r="AB3634" s="1">
        <v>34</v>
      </c>
    </row>
    <row r="3635" spans="1:28" x14ac:dyDescent="0.15">
      <c r="A3635" s="1">
        <v>9291</v>
      </c>
      <c r="J3635" s="1" t="s">
        <v>2156</v>
      </c>
      <c r="L3635" s="1" t="s">
        <v>1625</v>
      </c>
      <c r="N3635" s="1" t="s">
        <v>1627</v>
      </c>
      <c r="P3635" s="1" t="s">
        <v>1789</v>
      </c>
      <c r="Q3635" s="3">
        <v>0</v>
      </c>
      <c r="S3635" s="23" t="s">
        <v>5949</v>
      </c>
      <c r="W3635" s="45" t="str">
        <f>HYPERLINK("http://ictvonline.org/taxonomy/p/taxonomy-history?taxnode_id=201851536","ICTVonline=201851536")</f>
        <v>ICTVonline=201851536</v>
      </c>
      <c r="AA3635" s="1">
        <v>201850000</v>
      </c>
      <c r="AB3635" s="1">
        <v>34</v>
      </c>
    </row>
    <row r="3636" spans="1:28" x14ac:dyDescent="0.15">
      <c r="A3636" s="1">
        <v>9293</v>
      </c>
      <c r="J3636" s="1" t="s">
        <v>2156</v>
      </c>
      <c r="L3636" s="1" t="s">
        <v>1625</v>
      </c>
      <c r="N3636" s="1" t="s">
        <v>1627</v>
      </c>
      <c r="P3636" s="1" t="s">
        <v>1628</v>
      </c>
      <c r="Q3636" s="3">
        <v>1</v>
      </c>
      <c r="S3636" s="23" t="s">
        <v>5949</v>
      </c>
      <c r="W3636" s="45" t="str">
        <f>HYPERLINK("http://ictvonline.org/taxonomy/p/taxonomy-history?taxnode_id=201851537","ICTVonline=201851537")</f>
        <v>ICTVonline=201851537</v>
      </c>
      <c r="AA3636" s="1">
        <v>201850000</v>
      </c>
      <c r="AB3636" s="1">
        <v>34</v>
      </c>
    </row>
    <row r="3637" spans="1:28" x14ac:dyDescent="0.15">
      <c r="A3637" s="1">
        <v>9297</v>
      </c>
      <c r="J3637" s="1" t="s">
        <v>2156</v>
      </c>
      <c r="L3637" s="1" t="s">
        <v>1625</v>
      </c>
      <c r="N3637" s="1" t="s">
        <v>1120</v>
      </c>
      <c r="P3637" s="1" t="s">
        <v>1966</v>
      </c>
      <c r="Q3637" s="3">
        <v>1</v>
      </c>
      <c r="S3637" s="23" t="s">
        <v>5949</v>
      </c>
      <c r="W3637" s="45" t="str">
        <f>HYPERLINK("http://ictvonline.org/taxonomy/p/taxonomy-history?taxnode_id=201851539","ICTVonline=201851539")</f>
        <v>ICTVonline=201851539</v>
      </c>
      <c r="AA3637" s="1">
        <v>201850000</v>
      </c>
      <c r="AB3637" s="1">
        <v>34</v>
      </c>
    </row>
    <row r="3638" spans="1:28" x14ac:dyDescent="0.15">
      <c r="A3638" s="1">
        <v>9301</v>
      </c>
      <c r="J3638" s="1" t="s">
        <v>2156</v>
      </c>
      <c r="L3638" s="1" t="s">
        <v>1625</v>
      </c>
      <c r="N3638" s="1" t="s">
        <v>1967</v>
      </c>
      <c r="P3638" s="1" t="s">
        <v>1968</v>
      </c>
      <c r="Q3638" s="3">
        <v>1</v>
      </c>
      <c r="S3638" s="23" t="s">
        <v>5949</v>
      </c>
      <c r="W3638" s="45" t="str">
        <f>HYPERLINK("http://ictvonline.org/taxonomy/p/taxonomy-history?taxnode_id=201851541","ICTVonline=201851541")</f>
        <v>ICTVonline=201851541</v>
      </c>
      <c r="AA3638" s="1">
        <v>201850000</v>
      </c>
      <c r="AB3638" s="1">
        <v>34</v>
      </c>
    </row>
    <row r="3639" spans="1:28" x14ac:dyDescent="0.15">
      <c r="A3639" s="1">
        <v>9307</v>
      </c>
      <c r="J3639" s="1" t="s">
        <v>2156</v>
      </c>
      <c r="L3639" s="1" t="s">
        <v>1296</v>
      </c>
      <c r="N3639" s="1" t="s">
        <v>1297</v>
      </c>
      <c r="P3639" s="1" t="s">
        <v>1892</v>
      </c>
      <c r="Q3639" s="3">
        <v>0</v>
      </c>
      <c r="S3639" s="23" t="s">
        <v>5949</v>
      </c>
      <c r="W3639" s="45" t="str">
        <f>HYPERLINK("http://ictvonline.org/taxonomy/p/taxonomy-history?taxnode_id=201851545","ICTVonline=201851545")</f>
        <v>ICTVonline=201851545</v>
      </c>
      <c r="AA3639" s="1">
        <v>201850000</v>
      </c>
      <c r="AB3639" s="1">
        <v>34</v>
      </c>
    </row>
    <row r="3640" spans="1:28" x14ac:dyDescent="0.15">
      <c r="A3640" s="1">
        <v>9309</v>
      </c>
      <c r="J3640" s="1" t="s">
        <v>2156</v>
      </c>
      <c r="L3640" s="1" t="s">
        <v>1296</v>
      </c>
      <c r="N3640" s="1" t="s">
        <v>1297</v>
      </c>
      <c r="P3640" s="1" t="s">
        <v>1893</v>
      </c>
      <c r="Q3640" s="3">
        <v>0</v>
      </c>
      <c r="S3640" s="23" t="s">
        <v>5949</v>
      </c>
      <c r="W3640" s="45" t="str">
        <f>HYPERLINK("http://ictvonline.org/taxonomy/p/taxonomy-history?taxnode_id=201851546","ICTVonline=201851546")</f>
        <v>ICTVonline=201851546</v>
      </c>
      <c r="AA3640" s="1">
        <v>201850000</v>
      </c>
      <c r="AB3640" s="1">
        <v>34</v>
      </c>
    </row>
    <row r="3641" spans="1:28" x14ac:dyDescent="0.15">
      <c r="A3641" s="1">
        <v>9311</v>
      </c>
      <c r="J3641" s="1" t="s">
        <v>2156</v>
      </c>
      <c r="L3641" s="1" t="s">
        <v>1296</v>
      </c>
      <c r="N3641" s="1" t="s">
        <v>1297</v>
      </c>
      <c r="P3641" s="1" t="s">
        <v>1586</v>
      </c>
      <c r="Q3641" s="3">
        <v>1</v>
      </c>
      <c r="S3641" s="23" t="s">
        <v>5949</v>
      </c>
      <c r="W3641" s="45" t="str">
        <f>HYPERLINK("http://ictvonline.org/taxonomy/p/taxonomy-history?taxnode_id=201851547","ICTVonline=201851547")</f>
        <v>ICTVonline=201851547</v>
      </c>
      <c r="AA3641" s="1">
        <v>201850000</v>
      </c>
      <c r="AB3641" s="1">
        <v>34</v>
      </c>
    </row>
    <row r="3642" spans="1:28" x14ac:dyDescent="0.15">
      <c r="A3642" s="1">
        <v>9319</v>
      </c>
      <c r="J3642" s="1" t="s">
        <v>5115</v>
      </c>
      <c r="L3642" s="1" t="s">
        <v>5116</v>
      </c>
      <c r="N3642" s="1" t="s">
        <v>2016</v>
      </c>
      <c r="P3642" s="1" t="s">
        <v>2017</v>
      </c>
      <c r="Q3642" s="3">
        <v>0</v>
      </c>
      <c r="S3642" s="23" t="s">
        <v>5949</v>
      </c>
      <c r="W3642" s="45" t="str">
        <f>HYPERLINK("http://ictvonline.org/taxonomy/p/taxonomy-history?taxnode_id=201853847","ICTVonline=201853847")</f>
        <v>ICTVonline=201853847</v>
      </c>
      <c r="AA3642" s="1">
        <v>201850000</v>
      </c>
      <c r="AB3642" s="1">
        <v>34</v>
      </c>
    </row>
    <row r="3643" spans="1:28" x14ac:dyDescent="0.15">
      <c r="A3643" s="1">
        <v>9321</v>
      </c>
      <c r="J3643" s="1" t="s">
        <v>5115</v>
      </c>
      <c r="L3643" s="1" t="s">
        <v>5116</v>
      </c>
      <c r="N3643" s="1" t="s">
        <v>2016</v>
      </c>
      <c r="P3643" s="1" t="s">
        <v>5117</v>
      </c>
      <c r="Q3643" s="3">
        <v>0</v>
      </c>
      <c r="S3643" s="23" t="s">
        <v>5949</v>
      </c>
      <c r="W3643" s="45" t="str">
        <f>HYPERLINK("http://ictvonline.org/taxonomy/p/taxonomy-history?taxnode_id=201855584","ICTVonline=201855584")</f>
        <v>ICTVonline=201855584</v>
      </c>
      <c r="AA3643" s="1">
        <v>201850000</v>
      </c>
      <c r="AB3643" s="1">
        <v>34</v>
      </c>
    </row>
    <row r="3644" spans="1:28" x14ac:dyDescent="0.15">
      <c r="A3644" s="1">
        <v>9323</v>
      </c>
      <c r="J3644" s="1" t="s">
        <v>5115</v>
      </c>
      <c r="L3644" s="1" t="s">
        <v>5116</v>
      </c>
      <c r="N3644" s="1" t="s">
        <v>2016</v>
      </c>
      <c r="P3644" s="1" t="s">
        <v>2018</v>
      </c>
      <c r="Q3644" s="3">
        <v>1</v>
      </c>
      <c r="S3644" s="23" t="s">
        <v>5949</v>
      </c>
      <c r="W3644" s="45" t="str">
        <f>HYPERLINK("http://ictvonline.org/taxonomy/p/taxonomy-history?taxnode_id=201853848","ICTVonline=201853848")</f>
        <v>ICTVonline=201853848</v>
      </c>
      <c r="AA3644" s="1">
        <v>201850000</v>
      </c>
      <c r="AB3644" s="1">
        <v>34</v>
      </c>
    </row>
    <row r="3645" spans="1:28" x14ac:dyDescent="0.15">
      <c r="A3645" s="1">
        <v>9325</v>
      </c>
      <c r="J3645" s="1" t="s">
        <v>5115</v>
      </c>
      <c r="L3645" s="1" t="s">
        <v>5116</v>
      </c>
      <c r="N3645" s="1" t="s">
        <v>2016</v>
      </c>
      <c r="P3645" s="1" t="s">
        <v>2019</v>
      </c>
      <c r="Q3645" s="3">
        <v>0</v>
      </c>
      <c r="S3645" s="23" t="s">
        <v>5949</v>
      </c>
      <c r="W3645" s="45" t="str">
        <f>HYPERLINK("http://ictvonline.org/taxonomy/p/taxonomy-history?taxnode_id=201853849","ICTVonline=201853849")</f>
        <v>ICTVonline=201853849</v>
      </c>
      <c r="AA3645" s="1">
        <v>201850000</v>
      </c>
      <c r="AB3645" s="1">
        <v>34</v>
      </c>
    </row>
    <row r="3646" spans="1:28" x14ac:dyDescent="0.15">
      <c r="A3646" s="1">
        <v>9327</v>
      </c>
      <c r="J3646" s="1" t="s">
        <v>5115</v>
      </c>
      <c r="L3646" s="1" t="s">
        <v>5116</v>
      </c>
      <c r="N3646" s="1" t="s">
        <v>2016</v>
      </c>
      <c r="P3646" s="1" t="s">
        <v>1156</v>
      </c>
      <c r="Q3646" s="3">
        <v>0</v>
      </c>
      <c r="S3646" s="23" t="s">
        <v>5949</v>
      </c>
      <c r="W3646" s="45" t="str">
        <f>HYPERLINK("http://ictvonline.org/taxonomy/p/taxonomy-history?taxnode_id=201853850","ICTVonline=201853850")</f>
        <v>ICTVonline=201853850</v>
      </c>
      <c r="AA3646" s="1">
        <v>201850000</v>
      </c>
      <c r="AB3646" s="1">
        <v>34</v>
      </c>
    </row>
    <row r="3647" spans="1:28" x14ac:dyDescent="0.15">
      <c r="A3647" s="1">
        <v>9329</v>
      </c>
      <c r="J3647" s="1" t="s">
        <v>5115</v>
      </c>
      <c r="L3647" s="1" t="s">
        <v>5116</v>
      </c>
      <c r="N3647" s="1" t="s">
        <v>2016</v>
      </c>
      <c r="P3647" s="1" t="s">
        <v>1157</v>
      </c>
      <c r="Q3647" s="3">
        <v>0</v>
      </c>
      <c r="S3647" s="23" t="s">
        <v>5949</v>
      </c>
      <c r="W3647" s="45" t="str">
        <f>HYPERLINK("http://ictvonline.org/taxonomy/p/taxonomy-history?taxnode_id=201853851","ICTVonline=201853851")</f>
        <v>ICTVonline=201853851</v>
      </c>
      <c r="AA3647" s="1">
        <v>201850000</v>
      </c>
      <c r="AB3647" s="1">
        <v>34</v>
      </c>
    </row>
    <row r="3648" spans="1:28" x14ac:dyDescent="0.15">
      <c r="A3648" s="1">
        <v>9331</v>
      </c>
      <c r="J3648" s="1" t="s">
        <v>5115</v>
      </c>
      <c r="L3648" s="1" t="s">
        <v>5116</v>
      </c>
      <c r="N3648" s="1" t="s">
        <v>2016</v>
      </c>
      <c r="P3648" s="1" t="s">
        <v>1158</v>
      </c>
      <c r="Q3648" s="3">
        <v>0</v>
      </c>
      <c r="S3648" s="23" t="s">
        <v>5949</v>
      </c>
      <c r="W3648" s="45" t="str">
        <f>HYPERLINK("http://ictvonline.org/taxonomy/p/taxonomy-history?taxnode_id=201853852","ICTVonline=201853852")</f>
        <v>ICTVonline=201853852</v>
      </c>
      <c r="AA3648" s="1">
        <v>201850000</v>
      </c>
      <c r="AB3648" s="1">
        <v>34</v>
      </c>
    </row>
    <row r="3649" spans="1:28" x14ac:dyDescent="0.15">
      <c r="A3649" s="1">
        <v>9333</v>
      </c>
      <c r="J3649" s="1" t="s">
        <v>5115</v>
      </c>
      <c r="L3649" s="1" t="s">
        <v>5116</v>
      </c>
      <c r="N3649" s="1" t="s">
        <v>2016</v>
      </c>
      <c r="P3649" s="1" t="s">
        <v>5118</v>
      </c>
      <c r="Q3649" s="3">
        <v>0</v>
      </c>
      <c r="S3649" s="23" t="s">
        <v>5949</v>
      </c>
      <c r="W3649" s="45" t="str">
        <f>HYPERLINK("http://ictvonline.org/taxonomy/p/taxonomy-history?taxnode_id=201855585","ICTVonline=201855585")</f>
        <v>ICTVonline=201855585</v>
      </c>
      <c r="AA3649" s="1">
        <v>201850000</v>
      </c>
      <c r="AB3649" s="1">
        <v>34</v>
      </c>
    </row>
    <row r="3650" spans="1:28" x14ac:dyDescent="0.15">
      <c r="A3650" s="1">
        <v>9335</v>
      </c>
      <c r="J3650" s="1" t="s">
        <v>5115</v>
      </c>
      <c r="L3650" s="1" t="s">
        <v>5116</v>
      </c>
      <c r="N3650" s="1" t="s">
        <v>2016</v>
      </c>
      <c r="P3650" s="1" t="s">
        <v>1681</v>
      </c>
      <c r="Q3650" s="3">
        <v>0</v>
      </c>
      <c r="S3650" s="23" t="s">
        <v>5949</v>
      </c>
      <c r="W3650" s="45" t="str">
        <f>HYPERLINK("http://ictvonline.org/taxonomy/p/taxonomy-history?taxnode_id=201853853","ICTVonline=201853853")</f>
        <v>ICTVonline=201853853</v>
      </c>
      <c r="AA3650" s="1">
        <v>201850000</v>
      </c>
      <c r="AB3650" s="1">
        <v>34</v>
      </c>
    </row>
    <row r="3651" spans="1:28" x14ac:dyDescent="0.15">
      <c r="A3651" s="1">
        <v>9337</v>
      </c>
      <c r="J3651" s="1" t="s">
        <v>5115</v>
      </c>
      <c r="L3651" s="1" t="s">
        <v>5116</v>
      </c>
      <c r="N3651" s="1" t="s">
        <v>2016</v>
      </c>
      <c r="P3651" s="1" t="s">
        <v>5119</v>
      </c>
      <c r="Q3651" s="3">
        <v>0</v>
      </c>
      <c r="S3651" s="23" t="s">
        <v>5949</v>
      </c>
      <c r="W3651" s="45" t="str">
        <f>HYPERLINK("http://ictvonline.org/taxonomy/p/taxonomy-history?taxnode_id=201855586","ICTVonline=201855586")</f>
        <v>ICTVonline=201855586</v>
      </c>
      <c r="AA3651" s="1">
        <v>201850000</v>
      </c>
      <c r="AB3651" s="1">
        <v>34</v>
      </c>
    </row>
    <row r="3652" spans="1:28" x14ac:dyDescent="0.15">
      <c r="A3652" s="1">
        <v>9339</v>
      </c>
      <c r="J3652" s="1" t="s">
        <v>5115</v>
      </c>
      <c r="L3652" s="1" t="s">
        <v>5116</v>
      </c>
      <c r="N3652" s="1" t="s">
        <v>2016</v>
      </c>
      <c r="P3652" s="1" t="s">
        <v>5120</v>
      </c>
      <c r="Q3652" s="3">
        <v>0</v>
      </c>
      <c r="S3652" s="23" t="s">
        <v>5949</v>
      </c>
      <c r="W3652" s="45" t="str">
        <f>HYPERLINK("http://ictvonline.org/taxonomy/p/taxonomy-history?taxnode_id=201853854","ICTVonline=201853854")</f>
        <v>ICTVonline=201853854</v>
      </c>
      <c r="AA3652" s="1">
        <v>201850000</v>
      </c>
      <c r="AB3652" s="1">
        <v>34</v>
      </c>
    </row>
    <row r="3653" spans="1:28" x14ac:dyDescent="0.15">
      <c r="A3653" s="1">
        <v>9345</v>
      </c>
      <c r="J3653" s="1" t="s">
        <v>5115</v>
      </c>
      <c r="L3653" s="1" t="s">
        <v>2013</v>
      </c>
      <c r="N3653" s="1" t="s">
        <v>2014</v>
      </c>
      <c r="P3653" s="1" t="s">
        <v>2015</v>
      </c>
      <c r="Q3653" s="3">
        <v>0</v>
      </c>
      <c r="S3653" s="23" t="s">
        <v>5949</v>
      </c>
      <c r="W3653" s="45" t="str">
        <f>HYPERLINK("http://ictvonline.org/taxonomy/p/taxonomy-history?taxnode_id=201852819","ICTVonline=201852819")</f>
        <v>ICTVonline=201852819</v>
      </c>
      <c r="AA3653" s="1">
        <v>201850000</v>
      </c>
      <c r="AB3653" s="1">
        <v>34</v>
      </c>
    </row>
    <row r="3654" spans="1:28" x14ac:dyDescent="0.15">
      <c r="A3654" s="1">
        <v>9347</v>
      </c>
      <c r="J3654" s="1" t="s">
        <v>5115</v>
      </c>
      <c r="L3654" s="1" t="s">
        <v>2013</v>
      </c>
      <c r="N3654" s="1" t="s">
        <v>2014</v>
      </c>
      <c r="P3654" s="1" t="s">
        <v>2126</v>
      </c>
      <c r="Q3654" s="3">
        <v>0</v>
      </c>
      <c r="S3654" s="23" t="s">
        <v>5949</v>
      </c>
      <c r="W3654" s="45" t="str">
        <f>HYPERLINK("http://ictvonline.org/taxonomy/p/taxonomy-history?taxnode_id=201852820","ICTVonline=201852820")</f>
        <v>ICTVonline=201852820</v>
      </c>
      <c r="AA3654" s="1">
        <v>201850000</v>
      </c>
      <c r="AB3654" s="1">
        <v>34</v>
      </c>
    </row>
    <row r="3655" spans="1:28" x14ac:dyDescent="0.15">
      <c r="A3655" s="1">
        <v>9349</v>
      </c>
      <c r="J3655" s="1" t="s">
        <v>5115</v>
      </c>
      <c r="L3655" s="1" t="s">
        <v>2013</v>
      </c>
      <c r="N3655" s="1" t="s">
        <v>2014</v>
      </c>
      <c r="P3655" s="1" t="s">
        <v>2672</v>
      </c>
      <c r="Q3655" s="3">
        <v>0</v>
      </c>
      <c r="S3655" s="23" t="s">
        <v>5949</v>
      </c>
      <c r="W3655" s="45" t="str">
        <f>HYPERLINK("http://ictvonline.org/taxonomy/p/taxonomy-history?taxnode_id=201852821","ICTVonline=201852821")</f>
        <v>ICTVonline=201852821</v>
      </c>
      <c r="AA3655" s="1">
        <v>201850000</v>
      </c>
      <c r="AB3655" s="1">
        <v>34</v>
      </c>
    </row>
    <row r="3656" spans="1:28" x14ac:dyDescent="0.15">
      <c r="A3656" s="1">
        <v>9351</v>
      </c>
      <c r="J3656" s="1" t="s">
        <v>5115</v>
      </c>
      <c r="L3656" s="1" t="s">
        <v>2013</v>
      </c>
      <c r="N3656" s="1" t="s">
        <v>2014</v>
      </c>
      <c r="P3656" s="1" t="s">
        <v>563</v>
      </c>
      <c r="Q3656" s="3">
        <v>0</v>
      </c>
      <c r="S3656" s="23" t="s">
        <v>5949</v>
      </c>
      <c r="W3656" s="45" t="str">
        <f>HYPERLINK("http://ictvonline.org/taxonomy/p/taxonomy-history?taxnode_id=201852822","ICTVonline=201852822")</f>
        <v>ICTVonline=201852822</v>
      </c>
      <c r="AA3656" s="1">
        <v>201850000</v>
      </c>
      <c r="AB3656" s="1">
        <v>34</v>
      </c>
    </row>
    <row r="3657" spans="1:28" x14ac:dyDescent="0.15">
      <c r="A3657" s="1">
        <v>9353</v>
      </c>
      <c r="J3657" s="1" t="s">
        <v>5115</v>
      </c>
      <c r="L3657" s="1" t="s">
        <v>2013</v>
      </c>
      <c r="N3657" s="1" t="s">
        <v>2014</v>
      </c>
      <c r="P3657" s="1" t="s">
        <v>2127</v>
      </c>
      <c r="Q3657" s="3">
        <v>0</v>
      </c>
      <c r="S3657" s="23" t="s">
        <v>5949</v>
      </c>
      <c r="W3657" s="45" t="str">
        <f>HYPERLINK("http://ictvonline.org/taxonomy/p/taxonomy-history?taxnode_id=201852823","ICTVonline=201852823")</f>
        <v>ICTVonline=201852823</v>
      </c>
      <c r="AA3657" s="1">
        <v>201850000</v>
      </c>
      <c r="AB3657" s="1">
        <v>34</v>
      </c>
    </row>
    <row r="3658" spans="1:28" x14ac:dyDescent="0.15">
      <c r="A3658" s="1">
        <v>9355</v>
      </c>
      <c r="J3658" s="1" t="s">
        <v>5115</v>
      </c>
      <c r="L3658" s="1" t="s">
        <v>2013</v>
      </c>
      <c r="N3658" s="1" t="s">
        <v>2014</v>
      </c>
      <c r="P3658" s="1" t="s">
        <v>2673</v>
      </c>
      <c r="Q3658" s="3">
        <v>0</v>
      </c>
      <c r="S3658" s="23" t="s">
        <v>5949</v>
      </c>
      <c r="W3658" s="45" t="str">
        <f>HYPERLINK("http://ictvonline.org/taxonomy/p/taxonomy-history?taxnode_id=201852824","ICTVonline=201852824")</f>
        <v>ICTVonline=201852824</v>
      </c>
      <c r="AA3658" s="1">
        <v>201850000</v>
      </c>
      <c r="AB3658" s="1">
        <v>34</v>
      </c>
    </row>
    <row r="3659" spans="1:28" x14ac:dyDescent="0.15">
      <c r="A3659" s="1">
        <v>9357</v>
      </c>
      <c r="J3659" s="1" t="s">
        <v>5115</v>
      </c>
      <c r="L3659" s="1" t="s">
        <v>2013</v>
      </c>
      <c r="N3659" s="1" t="s">
        <v>2014</v>
      </c>
      <c r="P3659" s="1" t="s">
        <v>2674</v>
      </c>
      <c r="Q3659" s="3">
        <v>0</v>
      </c>
      <c r="S3659" s="23" t="s">
        <v>5949</v>
      </c>
      <c r="W3659" s="45" t="str">
        <f>HYPERLINK("http://ictvonline.org/taxonomy/p/taxonomy-history?taxnode_id=201852825","ICTVonline=201852825")</f>
        <v>ICTVonline=201852825</v>
      </c>
      <c r="AA3659" s="1">
        <v>201850000</v>
      </c>
      <c r="AB3659" s="1">
        <v>34</v>
      </c>
    </row>
    <row r="3660" spans="1:28" x14ac:dyDescent="0.15">
      <c r="A3660" s="1">
        <v>9359</v>
      </c>
      <c r="J3660" s="1" t="s">
        <v>5115</v>
      </c>
      <c r="L3660" s="1" t="s">
        <v>2013</v>
      </c>
      <c r="N3660" s="1" t="s">
        <v>2014</v>
      </c>
      <c r="P3660" s="1" t="s">
        <v>2675</v>
      </c>
      <c r="Q3660" s="3">
        <v>0</v>
      </c>
      <c r="S3660" s="23" t="s">
        <v>5949</v>
      </c>
      <c r="W3660" s="45" t="str">
        <f>HYPERLINK("http://ictvonline.org/taxonomy/p/taxonomy-history?taxnode_id=201852826","ICTVonline=201852826")</f>
        <v>ICTVonline=201852826</v>
      </c>
      <c r="AA3660" s="1">
        <v>201850000</v>
      </c>
      <c r="AB3660" s="1">
        <v>34</v>
      </c>
    </row>
    <row r="3661" spans="1:28" x14ac:dyDescent="0.15">
      <c r="A3661" s="1">
        <v>9361</v>
      </c>
      <c r="J3661" s="1" t="s">
        <v>5115</v>
      </c>
      <c r="L3661" s="1" t="s">
        <v>2013</v>
      </c>
      <c r="N3661" s="1" t="s">
        <v>2014</v>
      </c>
      <c r="P3661" s="1" t="s">
        <v>2676</v>
      </c>
      <c r="Q3661" s="3">
        <v>0</v>
      </c>
      <c r="S3661" s="23" t="s">
        <v>5949</v>
      </c>
      <c r="W3661" s="45" t="str">
        <f>HYPERLINK("http://ictvonline.org/taxonomy/p/taxonomy-history?taxnode_id=201852827","ICTVonline=201852827")</f>
        <v>ICTVonline=201852827</v>
      </c>
      <c r="AA3661" s="1">
        <v>201850000</v>
      </c>
      <c r="AB3661" s="1">
        <v>34</v>
      </c>
    </row>
    <row r="3662" spans="1:28" x14ac:dyDescent="0.15">
      <c r="A3662" s="1">
        <v>9363</v>
      </c>
      <c r="J3662" s="1" t="s">
        <v>5115</v>
      </c>
      <c r="L3662" s="1" t="s">
        <v>2013</v>
      </c>
      <c r="N3662" s="1" t="s">
        <v>2014</v>
      </c>
      <c r="P3662" s="1" t="s">
        <v>75</v>
      </c>
      <c r="Q3662" s="3">
        <v>0</v>
      </c>
      <c r="S3662" s="23" t="s">
        <v>5949</v>
      </c>
      <c r="W3662" s="45" t="str">
        <f>HYPERLINK("http://ictvonline.org/taxonomy/p/taxonomy-history?taxnode_id=201852828","ICTVonline=201852828")</f>
        <v>ICTVonline=201852828</v>
      </c>
      <c r="AA3662" s="1">
        <v>201850000</v>
      </c>
      <c r="AB3662" s="1">
        <v>34</v>
      </c>
    </row>
    <row r="3663" spans="1:28" x14ac:dyDescent="0.15">
      <c r="A3663" s="1">
        <v>9365</v>
      </c>
      <c r="J3663" s="1" t="s">
        <v>5115</v>
      </c>
      <c r="L3663" s="1" t="s">
        <v>2013</v>
      </c>
      <c r="N3663" s="1" t="s">
        <v>2014</v>
      </c>
      <c r="P3663" s="1" t="s">
        <v>6856</v>
      </c>
      <c r="Q3663" s="3">
        <v>0</v>
      </c>
      <c r="S3663" s="23" t="s">
        <v>5949</v>
      </c>
      <c r="T3663" s="23" t="s">
        <v>4929</v>
      </c>
      <c r="U3663" s="3">
        <v>34</v>
      </c>
      <c r="V3663" s="3" t="s">
        <v>6857</v>
      </c>
      <c r="W3663" s="45" t="str">
        <f>HYPERLINK("http://ictvonline.org/taxonomy/p/taxonomy-history?taxnode_id=201856641","ICTVonline=201856641")</f>
        <v>ICTVonline=201856641</v>
      </c>
      <c r="AA3663" s="1">
        <v>201850000</v>
      </c>
      <c r="AB3663" s="1">
        <v>34</v>
      </c>
    </row>
    <row r="3664" spans="1:28" x14ac:dyDescent="0.15">
      <c r="A3664" s="1">
        <v>9367</v>
      </c>
      <c r="J3664" s="1" t="s">
        <v>5115</v>
      </c>
      <c r="L3664" s="1" t="s">
        <v>2013</v>
      </c>
      <c r="N3664" s="1" t="s">
        <v>2014</v>
      </c>
      <c r="P3664" s="1" t="s">
        <v>6858</v>
      </c>
      <c r="Q3664" s="3">
        <v>0</v>
      </c>
      <c r="S3664" s="23" t="s">
        <v>5949</v>
      </c>
      <c r="T3664" s="23" t="s">
        <v>4929</v>
      </c>
      <c r="U3664" s="3">
        <v>34</v>
      </c>
      <c r="V3664" s="3" t="s">
        <v>6857</v>
      </c>
      <c r="W3664" s="45" t="str">
        <f>HYPERLINK("http://ictvonline.org/taxonomy/p/taxonomy-history?taxnode_id=201856642","ICTVonline=201856642")</f>
        <v>ICTVonline=201856642</v>
      </c>
      <c r="AA3664" s="1">
        <v>201850000</v>
      </c>
      <c r="AB3664" s="1">
        <v>34</v>
      </c>
    </row>
    <row r="3665" spans="1:28" x14ac:dyDescent="0.15">
      <c r="A3665" s="1">
        <v>9369</v>
      </c>
      <c r="J3665" s="1" t="s">
        <v>5115</v>
      </c>
      <c r="L3665" s="1" t="s">
        <v>2013</v>
      </c>
      <c r="N3665" s="1" t="s">
        <v>2014</v>
      </c>
      <c r="P3665" s="1" t="s">
        <v>76</v>
      </c>
      <c r="Q3665" s="3">
        <v>0</v>
      </c>
      <c r="S3665" s="23" t="s">
        <v>5949</v>
      </c>
      <c r="W3665" s="45" t="str">
        <f>HYPERLINK("http://ictvonline.org/taxonomy/p/taxonomy-history?taxnode_id=201852829","ICTVonline=201852829")</f>
        <v>ICTVonline=201852829</v>
      </c>
      <c r="AA3665" s="1">
        <v>201850000</v>
      </c>
      <c r="AB3665" s="1">
        <v>34</v>
      </c>
    </row>
    <row r="3666" spans="1:28" x14ac:dyDescent="0.15">
      <c r="A3666" s="1">
        <v>9371</v>
      </c>
      <c r="J3666" s="1" t="s">
        <v>5115</v>
      </c>
      <c r="L3666" s="1" t="s">
        <v>2013</v>
      </c>
      <c r="N3666" s="1" t="s">
        <v>2014</v>
      </c>
      <c r="P3666" s="1" t="s">
        <v>6859</v>
      </c>
      <c r="Q3666" s="3">
        <v>0</v>
      </c>
      <c r="S3666" s="23" t="s">
        <v>5949</v>
      </c>
      <c r="T3666" s="23" t="s">
        <v>4929</v>
      </c>
      <c r="U3666" s="3">
        <v>34</v>
      </c>
      <c r="V3666" s="3" t="s">
        <v>6857</v>
      </c>
      <c r="W3666" s="45" t="str">
        <f>HYPERLINK("http://ictvonline.org/taxonomy/p/taxonomy-history?taxnode_id=201856647","ICTVonline=201856647")</f>
        <v>ICTVonline=201856647</v>
      </c>
      <c r="AA3666" s="1">
        <v>201850000</v>
      </c>
      <c r="AB3666" s="1">
        <v>34</v>
      </c>
    </row>
    <row r="3667" spans="1:28" x14ac:dyDescent="0.15">
      <c r="A3667" s="1">
        <v>9373</v>
      </c>
      <c r="J3667" s="1" t="s">
        <v>5115</v>
      </c>
      <c r="L3667" s="1" t="s">
        <v>2013</v>
      </c>
      <c r="N3667" s="1" t="s">
        <v>2014</v>
      </c>
      <c r="P3667" s="1" t="s">
        <v>5121</v>
      </c>
      <c r="Q3667" s="3">
        <v>0</v>
      </c>
      <c r="S3667" s="23" t="s">
        <v>5949</v>
      </c>
      <c r="W3667" s="45" t="str">
        <f>HYPERLINK("http://ictvonline.org/taxonomy/p/taxonomy-history?taxnode_id=201855761","ICTVonline=201855761")</f>
        <v>ICTVonline=201855761</v>
      </c>
      <c r="AA3667" s="1">
        <v>201850000</v>
      </c>
      <c r="AB3667" s="1">
        <v>34</v>
      </c>
    </row>
    <row r="3668" spans="1:28" x14ac:dyDescent="0.15">
      <c r="A3668" s="1">
        <v>9375</v>
      </c>
      <c r="J3668" s="1" t="s">
        <v>5115</v>
      </c>
      <c r="L3668" s="1" t="s">
        <v>2013</v>
      </c>
      <c r="N3668" s="1" t="s">
        <v>2014</v>
      </c>
      <c r="P3668" s="1" t="s">
        <v>3748</v>
      </c>
      <c r="Q3668" s="3">
        <v>0</v>
      </c>
      <c r="S3668" s="23" t="s">
        <v>5949</v>
      </c>
      <c r="W3668" s="45" t="str">
        <f>HYPERLINK("http://ictvonline.org/taxonomy/p/taxonomy-history?taxnode_id=201852830","ICTVonline=201852830")</f>
        <v>ICTVonline=201852830</v>
      </c>
      <c r="AA3668" s="1">
        <v>201850000</v>
      </c>
      <c r="AB3668" s="1">
        <v>34</v>
      </c>
    </row>
    <row r="3669" spans="1:28" x14ac:dyDescent="0.15">
      <c r="A3669" s="1">
        <v>9377</v>
      </c>
      <c r="J3669" s="1" t="s">
        <v>5115</v>
      </c>
      <c r="L3669" s="1" t="s">
        <v>2013</v>
      </c>
      <c r="N3669" s="1" t="s">
        <v>2014</v>
      </c>
      <c r="P3669" s="1" t="s">
        <v>6860</v>
      </c>
      <c r="Q3669" s="3">
        <v>0</v>
      </c>
      <c r="S3669" s="23" t="s">
        <v>5949</v>
      </c>
      <c r="T3669" s="23" t="s">
        <v>4929</v>
      </c>
      <c r="U3669" s="3">
        <v>34</v>
      </c>
      <c r="V3669" s="3" t="s">
        <v>6857</v>
      </c>
      <c r="W3669" s="45" t="str">
        <f>HYPERLINK("http://ictvonline.org/taxonomy/p/taxonomy-history?taxnode_id=201856643","ICTVonline=201856643")</f>
        <v>ICTVonline=201856643</v>
      </c>
      <c r="AA3669" s="1">
        <v>201850000</v>
      </c>
      <c r="AB3669" s="1">
        <v>34</v>
      </c>
    </row>
    <row r="3670" spans="1:28" x14ac:dyDescent="0.15">
      <c r="A3670" s="1">
        <v>9379</v>
      </c>
      <c r="J3670" s="1" t="s">
        <v>5115</v>
      </c>
      <c r="L3670" s="1" t="s">
        <v>2013</v>
      </c>
      <c r="N3670" s="1" t="s">
        <v>2014</v>
      </c>
      <c r="P3670" s="1" t="s">
        <v>6861</v>
      </c>
      <c r="Q3670" s="3">
        <v>0</v>
      </c>
      <c r="S3670" s="23" t="s">
        <v>5949</v>
      </c>
      <c r="T3670" s="23" t="s">
        <v>4929</v>
      </c>
      <c r="U3670" s="3">
        <v>34</v>
      </c>
      <c r="V3670" s="3" t="s">
        <v>6857</v>
      </c>
      <c r="W3670" s="45" t="str">
        <f>HYPERLINK("http://ictvonline.org/taxonomy/p/taxonomy-history?taxnode_id=201856644","ICTVonline=201856644")</f>
        <v>ICTVonline=201856644</v>
      </c>
      <c r="AA3670" s="1">
        <v>201850000</v>
      </c>
      <c r="AB3670" s="1">
        <v>34</v>
      </c>
    </row>
    <row r="3671" spans="1:28" x14ac:dyDescent="0.15">
      <c r="A3671" s="1">
        <v>9381</v>
      </c>
      <c r="J3671" s="1" t="s">
        <v>5115</v>
      </c>
      <c r="L3671" s="1" t="s">
        <v>2013</v>
      </c>
      <c r="N3671" s="1" t="s">
        <v>2014</v>
      </c>
      <c r="P3671" s="1" t="s">
        <v>6862</v>
      </c>
      <c r="Q3671" s="3">
        <v>0</v>
      </c>
      <c r="S3671" s="23" t="s">
        <v>5949</v>
      </c>
      <c r="T3671" s="23" t="s">
        <v>4929</v>
      </c>
      <c r="U3671" s="3">
        <v>34</v>
      </c>
      <c r="V3671" s="3" t="s">
        <v>6857</v>
      </c>
      <c r="W3671" s="45" t="str">
        <f>HYPERLINK("http://ictvonline.org/taxonomy/p/taxonomy-history?taxnode_id=201856645","ICTVonline=201856645")</f>
        <v>ICTVonline=201856645</v>
      </c>
      <c r="AA3671" s="1">
        <v>201850000</v>
      </c>
      <c r="AB3671" s="1">
        <v>34</v>
      </c>
    </row>
    <row r="3672" spans="1:28" x14ac:dyDescent="0.15">
      <c r="A3672" s="1">
        <v>9383</v>
      </c>
      <c r="J3672" s="1" t="s">
        <v>5115</v>
      </c>
      <c r="L3672" s="1" t="s">
        <v>2013</v>
      </c>
      <c r="N3672" s="1" t="s">
        <v>2014</v>
      </c>
      <c r="P3672" s="1" t="s">
        <v>6863</v>
      </c>
      <c r="Q3672" s="3">
        <v>0</v>
      </c>
      <c r="S3672" s="23" t="s">
        <v>5949</v>
      </c>
      <c r="T3672" s="23" t="s">
        <v>4929</v>
      </c>
      <c r="U3672" s="3">
        <v>34</v>
      </c>
      <c r="V3672" s="3" t="s">
        <v>6857</v>
      </c>
      <c r="W3672" s="45" t="str">
        <f>HYPERLINK("http://ictvonline.org/taxonomy/p/taxonomy-history?taxnode_id=201856646","ICTVonline=201856646")</f>
        <v>ICTVonline=201856646</v>
      </c>
      <c r="AA3672" s="1">
        <v>201850000</v>
      </c>
      <c r="AB3672" s="1">
        <v>34</v>
      </c>
    </row>
    <row r="3673" spans="1:28" x14ac:dyDescent="0.15">
      <c r="A3673" s="1">
        <v>9385</v>
      </c>
      <c r="J3673" s="1" t="s">
        <v>5115</v>
      </c>
      <c r="L3673" s="1" t="s">
        <v>2013</v>
      </c>
      <c r="N3673" s="1" t="s">
        <v>2014</v>
      </c>
      <c r="P3673" s="1" t="s">
        <v>3749</v>
      </c>
      <c r="Q3673" s="3">
        <v>0</v>
      </c>
      <c r="S3673" s="23" t="s">
        <v>5949</v>
      </c>
      <c r="W3673" s="45" t="str">
        <f>HYPERLINK("http://ictvonline.org/taxonomy/p/taxonomy-history?taxnode_id=201852831","ICTVonline=201852831")</f>
        <v>ICTVonline=201852831</v>
      </c>
      <c r="AA3673" s="1">
        <v>201850000</v>
      </c>
      <c r="AB3673" s="1">
        <v>34</v>
      </c>
    </row>
    <row r="3674" spans="1:28" x14ac:dyDescent="0.15">
      <c r="A3674" s="1">
        <v>9387</v>
      </c>
      <c r="J3674" s="1" t="s">
        <v>5115</v>
      </c>
      <c r="L3674" s="1" t="s">
        <v>2013</v>
      </c>
      <c r="N3674" s="1" t="s">
        <v>2014</v>
      </c>
      <c r="P3674" s="1" t="s">
        <v>6864</v>
      </c>
      <c r="Q3674" s="3">
        <v>0</v>
      </c>
      <c r="S3674" s="23" t="s">
        <v>5949</v>
      </c>
      <c r="T3674" s="23" t="s">
        <v>6499</v>
      </c>
      <c r="U3674" s="3">
        <v>34</v>
      </c>
      <c r="V3674" s="3" t="s">
        <v>6857</v>
      </c>
      <c r="W3674" s="45" t="str">
        <f>HYPERLINK("http://ictvonline.org/taxonomy/p/taxonomy-history?taxnode_id=201852832","ICTVonline=201852832")</f>
        <v>ICTVonline=201852832</v>
      </c>
      <c r="AA3674" s="1">
        <v>201850000</v>
      </c>
      <c r="AB3674" s="1">
        <v>34</v>
      </c>
    </row>
    <row r="3675" spans="1:28" x14ac:dyDescent="0.15">
      <c r="A3675" s="1">
        <v>9389</v>
      </c>
      <c r="J3675" s="1" t="s">
        <v>5115</v>
      </c>
      <c r="L3675" s="1" t="s">
        <v>2013</v>
      </c>
      <c r="N3675" s="1" t="s">
        <v>2014</v>
      </c>
      <c r="P3675" s="1" t="s">
        <v>5122</v>
      </c>
      <c r="Q3675" s="3">
        <v>0</v>
      </c>
      <c r="S3675" s="23" t="s">
        <v>5949</v>
      </c>
      <c r="W3675" s="45" t="str">
        <f>HYPERLINK("http://ictvonline.org/taxonomy/p/taxonomy-history?taxnode_id=201855762","ICTVonline=201855762")</f>
        <v>ICTVonline=201855762</v>
      </c>
      <c r="AA3675" s="1">
        <v>201850000</v>
      </c>
      <c r="AB3675" s="1">
        <v>34</v>
      </c>
    </row>
    <row r="3676" spans="1:28" x14ac:dyDescent="0.15">
      <c r="A3676" s="1">
        <v>9391</v>
      </c>
      <c r="J3676" s="1" t="s">
        <v>5115</v>
      </c>
      <c r="L3676" s="1" t="s">
        <v>2013</v>
      </c>
      <c r="N3676" s="1" t="s">
        <v>2014</v>
      </c>
      <c r="P3676" s="1" t="s">
        <v>6865</v>
      </c>
      <c r="Q3676" s="3">
        <v>0</v>
      </c>
      <c r="S3676" s="23" t="s">
        <v>5949</v>
      </c>
      <c r="T3676" s="23" t="s">
        <v>4929</v>
      </c>
      <c r="U3676" s="3">
        <v>34</v>
      </c>
      <c r="V3676" s="3" t="s">
        <v>6857</v>
      </c>
      <c r="W3676" s="45" t="str">
        <f>HYPERLINK("http://ictvonline.org/taxonomy/p/taxonomy-history?taxnode_id=201856648","ICTVonline=201856648")</f>
        <v>ICTVonline=201856648</v>
      </c>
      <c r="AA3676" s="1">
        <v>201850000</v>
      </c>
      <c r="AB3676" s="1">
        <v>34</v>
      </c>
    </row>
    <row r="3677" spans="1:28" x14ac:dyDescent="0.15">
      <c r="A3677" s="1">
        <v>9393</v>
      </c>
      <c r="J3677" s="1" t="s">
        <v>5115</v>
      </c>
      <c r="L3677" s="1" t="s">
        <v>2013</v>
      </c>
      <c r="N3677" s="1" t="s">
        <v>2014</v>
      </c>
      <c r="P3677" s="1" t="s">
        <v>2020</v>
      </c>
      <c r="Q3677" s="3">
        <v>0</v>
      </c>
      <c r="S3677" s="23" t="s">
        <v>5949</v>
      </c>
      <c r="W3677" s="45" t="str">
        <f>HYPERLINK("http://ictvonline.org/taxonomy/p/taxonomy-history?taxnode_id=201852833","ICTVonline=201852833")</f>
        <v>ICTVonline=201852833</v>
      </c>
      <c r="AA3677" s="1">
        <v>201850000</v>
      </c>
      <c r="AB3677" s="1">
        <v>34</v>
      </c>
    </row>
    <row r="3678" spans="1:28" x14ac:dyDescent="0.15">
      <c r="A3678" s="1">
        <v>9395</v>
      </c>
      <c r="J3678" s="1" t="s">
        <v>5115</v>
      </c>
      <c r="L3678" s="1" t="s">
        <v>2013</v>
      </c>
      <c r="N3678" s="1" t="s">
        <v>2014</v>
      </c>
      <c r="P3678" s="1" t="s">
        <v>77</v>
      </c>
      <c r="Q3678" s="3">
        <v>0</v>
      </c>
      <c r="S3678" s="23" t="s">
        <v>5949</v>
      </c>
      <c r="W3678" s="45" t="str">
        <f>HYPERLINK("http://ictvonline.org/taxonomy/p/taxonomy-history?taxnode_id=201852834","ICTVonline=201852834")</f>
        <v>ICTVonline=201852834</v>
      </c>
      <c r="AA3678" s="1">
        <v>201850000</v>
      </c>
      <c r="AB3678" s="1">
        <v>34</v>
      </c>
    </row>
    <row r="3679" spans="1:28" x14ac:dyDescent="0.15">
      <c r="A3679" s="1">
        <v>9397</v>
      </c>
      <c r="J3679" s="1" t="s">
        <v>5115</v>
      </c>
      <c r="L3679" s="1" t="s">
        <v>2013</v>
      </c>
      <c r="N3679" s="1" t="s">
        <v>2014</v>
      </c>
      <c r="P3679" s="1" t="s">
        <v>1939</v>
      </c>
      <c r="Q3679" s="3">
        <v>1</v>
      </c>
      <c r="S3679" s="23" t="s">
        <v>5949</v>
      </c>
      <c r="W3679" s="45" t="str">
        <f>HYPERLINK("http://ictvonline.org/taxonomy/p/taxonomy-history?taxnode_id=201852835","ICTVonline=201852835")</f>
        <v>ICTVonline=201852835</v>
      </c>
      <c r="AA3679" s="1">
        <v>201850000</v>
      </c>
      <c r="AB3679" s="1">
        <v>34</v>
      </c>
    </row>
    <row r="3680" spans="1:28" x14ac:dyDescent="0.15">
      <c r="A3680" s="1">
        <v>9399</v>
      </c>
      <c r="J3680" s="1" t="s">
        <v>5115</v>
      </c>
      <c r="L3680" s="1" t="s">
        <v>2013</v>
      </c>
      <c r="N3680" s="1" t="s">
        <v>2014</v>
      </c>
      <c r="P3680" s="1" t="s">
        <v>78</v>
      </c>
      <c r="Q3680" s="3">
        <v>0</v>
      </c>
      <c r="S3680" s="23" t="s">
        <v>5949</v>
      </c>
      <c r="W3680" s="45" t="str">
        <f>HYPERLINK("http://ictvonline.org/taxonomy/p/taxonomy-history?taxnode_id=201852836","ICTVonline=201852836")</f>
        <v>ICTVonline=201852836</v>
      </c>
      <c r="AA3680" s="1">
        <v>201850000</v>
      </c>
      <c r="AB3680" s="1">
        <v>34</v>
      </c>
    </row>
    <row r="3681" spans="1:28" x14ac:dyDescent="0.15">
      <c r="A3681" s="1">
        <v>9401</v>
      </c>
      <c r="J3681" s="1" t="s">
        <v>5115</v>
      </c>
      <c r="L3681" s="1" t="s">
        <v>2013</v>
      </c>
      <c r="N3681" s="1" t="s">
        <v>2014</v>
      </c>
      <c r="P3681" s="1" t="s">
        <v>6866</v>
      </c>
      <c r="Q3681" s="3">
        <v>0</v>
      </c>
      <c r="S3681" s="23" t="s">
        <v>5949</v>
      </c>
      <c r="T3681" s="23" t="s">
        <v>4929</v>
      </c>
      <c r="U3681" s="3">
        <v>34</v>
      </c>
      <c r="V3681" s="3" t="s">
        <v>6857</v>
      </c>
      <c r="W3681" s="45" t="str">
        <f>HYPERLINK("http://ictvonline.org/taxonomy/p/taxonomy-history?taxnode_id=201856650","ICTVonline=201856650")</f>
        <v>ICTVonline=201856650</v>
      </c>
      <c r="AA3681" s="1">
        <v>201850000</v>
      </c>
      <c r="AB3681" s="1">
        <v>34</v>
      </c>
    </row>
    <row r="3682" spans="1:28" x14ac:dyDescent="0.15">
      <c r="A3682" s="1">
        <v>9403</v>
      </c>
      <c r="J3682" s="1" t="s">
        <v>5115</v>
      </c>
      <c r="L3682" s="1" t="s">
        <v>2013</v>
      </c>
      <c r="N3682" s="1" t="s">
        <v>2014</v>
      </c>
      <c r="P3682" s="1" t="s">
        <v>6867</v>
      </c>
      <c r="Q3682" s="3">
        <v>0</v>
      </c>
      <c r="S3682" s="23" t="s">
        <v>5949</v>
      </c>
      <c r="T3682" s="23" t="s">
        <v>4929</v>
      </c>
      <c r="U3682" s="3">
        <v>34</v>
      </c>
      <c r="V3682" s="3" t="s">
        <v>6857</v>
      </c>
      <c r="W3682" s="45" t="str">
        <f>HYPERLINK("http://ictvonline.org/taxonomy/p/taxonomy-history?taxnode_id=201856649","ICTVonline=201856649")</f>
        <v>ICTVonline=201856649</v>
      </c>
      <c r="AA3682" s="1">
        <v>201850000</v>
      </c>
      <c r="AB3682" s="1">
        <v>34</v>
      </c>
    </row>
    <row r="3683" spans="1:28" x14ac:dyDescent="0.15">
      <c r="A3683" s="1">
        <v>9405</v>
      </c>
      <c r="J3683" s="1" t="s">
        <v>5115</v>
      </c>
      <c r="L3683" s="1" t="s">
        <v>2013</v>
      </c>
      <c r="N3683" s="1" t="s">
        <v>2014</v>
      </c>
      <c r="P3683" s="1" t="s">
        <v>5123</v>
      </c>
      <c r="Q3683" s="3">
        <v>0</v>
      </c>
      <c r="S3683" s="23" t="s">
        <v>5949</v>
      </c>
      <c r="W3683" s="45" t="str">
        <f>HYPERLINK("http://ictvonline.org/taxonomy/p/taxonomy-history?taxnode_id=201855763","ICTVonline=201855763")</f>
        <v>ICTVonline=201855763</v>
      </c>
      <c r="AA3683" s="1">
        <v>201850000</v>
      </c>
      <c r="AB3683" s="1">
        <v>34</v>
      </c>
    </row>
    <row r="3684" spans="1:28" x14ac:dyDescent="0.15">
      <c r="A3684" s="1">
        <v>9407</v>
      </c>
      <c r="J3684" s="1" t="s">
        <v>5115</v>
      </c>
      <c r="L3684" s="1" t="s">
        <v>2013</v>
      </c>
      <c r="N3684" s="1" t="s">
        <v>2014</v>
      </c>
      <c r="P3684" s="1" t="s">
        <v>5124</v>
      </c>
      <c r="Q3684" s="3">
        <v>0</v>
      </c>
      <c r="S3684" s="23" t="s">
        <v>5949</v>
      </c>
      <c r="W3684" s="45" t="str">
        <f>HYPERLINK("http://ictvonline.org/taxonomy/p/taxonomy-history?taxnode_id=201855764","ICTVonline=201855764")</f>
        <v>ICTVonline=201855764</v>
      </c>
      <c r="AA3684" s="1">
        <v>201850000</v>
      </c>
      <c r="AB3684" s="1">
        <v>34</v>
      </c>
    </row>
    <row r="3685" spans="1:28" x14ac:dyDescent="0.15">
      <c r="A3685" s="1">
        <v>9409</v>
      </c>
      <c r="J3685" s="1" t="s">
        <v>5115</v>
      </c>
      <c r="L3685" s="1" t="s">
        <v>2013</v>
      </c>
      <c r="N3685" s="1" t="s">
        <v>2014</v>
      </c>
      <c r="P3685" s="1" t="s">
        <v>79</v>
      </c>
      <c r="Q3685" s="3">
        <v>0</v>
      </c>
      <c r="S3685" s="23" t="s">
        <v>5949</v>
      </c>
      <c r="W3685" s="45" t="str">
        <f>HYPERLINK("http://ictvonline.org/taxonomy/p/taxonomy-history?taxnode_id=201852837","ICTVonline=201852837")</f>
        <v>ICTVonline=201852837</v>
      </c>
      <c r="AA3685" s="1">
        <v>201850000</v>
      </c>
      <c r="AB3685" s="1">
        <v>34</v>
      </c>
    </row>
    <row r="3686" spans="1:28" x14ac:dyDescent="0.15">
      <c r="A3686" s="1">
        <v>9411</v>
      </c>
      <c r="J3686" s="1" t="s">
        <v>5115</v>
      </c>
      <c r="L3686" s="1" t="s">
        <v>2013</v>
      </c>
      <c r="N3686" s="1" t="s">
        <v>2014</v>
      </c>
      <c r="P3686" s="1" t="s">
        <v>5125</v>
      </c>
      <c r="Q3686" s="3">
        <v>0</v>
      </c>
      <c r="S3686" s="23" t="s">
        <v>5949</v>
      </c>
      <c r="W3686" s="45" t="str">
        <f>HYPERLINK("http://ictvonline.org/taxonomy/p/taxonomy-history?taxnode_id=201855765","ICTVonline=201855765")</f>
        <v>ICTVonline=201855765</v>
      </c>
      <c r="AA3686" s="1">
        <v>201850000</v>
      </c>
      <c r="AB3686" s="1">
        <v>34</v>
      </c>
    </row>
    <row r="3687" spans="1:28" x14ac:dyDescent="0.15">
      <c r="A3687" s="1">
        <v>9413</v>
      </c>
      <c r="J3687" s="1" t="s">
        <v>5115</v>
      </c>
      <c r="L3687" s="1" t="s">
        <v>2013</v>
      </c>
      <c r="N3687" s="1" t="s">
        <v>2014</v>
      </c>
      <c r="P3687" s="1" t="s">
        <v>2677</v>
      </c>
      <c r="Q3687" s="3">
        <v>0</v>
      </c>
      <c r="S3687" s="23" t="s">
        <v>5949</v>
      </c>
      <c r="W3687" s="45" t="str">
        <f>HYPERLINK("http://ictvonline.org/taxonomy/p/taxonomy-history?taxnode_id=201852838","ICTVonline=201852838")</f>
        <v>ICTVonline=201852838</v>
      </c>
      <c r="AA3687" s="1">
        <v>201850000</v>
      </c>
      <c r="AB3687" s="1">
        <v>34</v>
      </c>
    </row>
    <row r="3688" spans="1:28" x14ac:dyDescent="0.15">
      <c r="A3688" s="1">
        <v>9415</v>
      </c>
      <c r="J3688" s="1" t="s">
        <v>5115</v>
      </c>
      <c r="L3688" s="1" t="s">
        <v>2013</v>
      </c>
      <c r="N3688" s="1" t="s">
        <v>2014</v>
      </c>
      <c r="P3688" s="1" t="s">
        <v>1159</v>
      </c>
      <c r="Q3688" s="3">
        <v>0</v>
      </c>
      <c r="S3688" s="23" t="s">
        <v>5949</v>
      </c>
      <c r="W3688" s="45" t="str">
        <f>HYPERLINK("http://ictvonline.org/taxonomy/p/taxonomy-history?taxnode_id=201852839","ICTVonline=201852839")</f>
        <v>ICTVonline=201852839</v>
      </c>
      <c r="AA3688" s="1">
        <v>201850000</v>
      </c>
      <c r="AB3688" s="1">
        <v>34</v>
      </c>
    </row>
    <row r="3689" spans="1:28" x14ac:dyDescent="0.15">
      <c r="A3689" s="1">
        <v>9417</v>
      </c>
      <c r="J3689" s="1" t="s">
        <v>5115</v>
      </c>
      <c r="L3689" s="1" t="s">
        <v>2013</v>
      </c>
      <c r="N3689" s="1" t="s">
        <v>2014</v>
      </c>
      <c r="P3689" s="1" t="s">
        <v>3750</v>
      </c>
      <c r="Q3689" s="3">
        <v>0</v>
      </c>
      <c r="S3689" s="23" t="s">
        <v>5949</v>
      </c>
      <c r="W3689" s="45" t="str">
        <f>HYPERLINK("http://ictvonline.org/taxonomy/p/taxonomy-history?taxnode_id=201852840","ICTVonline=201852840")</f>
        <v>ICTVonline=201852840</v>
      </c>
      <c r="AA3689" s="1">
        <v>201850000</v>
      </c>
      <c r="AB3689" s="1">
        <v>34</v>
      </c>
    </row>
    <row r="3690" spans="1:28" x14ac:dyDescent="0.15">
      <c r="A3690" s="1">
        <v>9419</v>
      </c>
      <c r="J3690" s="1" t="s">
        <v>5115</v>
      </c>
      <c r="L3690" s="1" t="s">
        <v>2013</v>
      </c>
      <c r="N3690" s="1" t="s">
        <v>2014</v>
      </c>
      <c r="P3690" s="1" t="s">
        <v>80</v>
      </c>
      <c r="Q3690" s="3">
        <v>0</v>
      </c>
      <c r="S3690" s="23" t="s">
        <v>5949</v>
      </c>
      <c r="W3690" s="45" t="str">
        <f>HYPERLINK("http://ictvonline.org/taxonomy/p/taxonomy-history?taxnode_id=201852841","ICTVonline=201852841")</f>
        <v>ICTVonline=201852841</v>
      </c>
      <c r="AA3690" s="1">
        <v>201850000</v>
      </c>
      <c r="AB3690" s="1">
        <v>34</v>
      </c>
    </row>
    <row r="3691" spans="1:28" x14ac:dyDescent="0.15">
      <c r="A3691" s="1">
        <v>9421</v>
      </c>
      <c r="J3691" s="1" t="s">
        <v>5115</v>
      </c>
      <c r="L3691" s="1" t="s">
        <v>2013</v>
      </c>
      <c r="N3691" s="1" t="s">
        <v>2014</v>
      </c>
      <c r="P3691" s="1" t="s">
        <v>6868</v>
      </c>
      <c r="Q3691" s="3">
        <v>0</v>
      </c>
      <c r="S3691" s="23" t="s">
        <v>5949</v>
      </c>
      <c r="T3691" s="23" t="s">
        <v>4929</v>
      </c>
      <c r="U3691" s="3">
        <v>34</v>
      </c>
      <c r="V3691" s="3" t="s">
        <v>6857</v>
      </c>
      <c r="W3691" s="45" t="str">
        <f>HYPERLINK("http://ictvonline.org/taxonomy/p/taxonomy-history?taxnode_id=201856651","ICTVonline=201856651")</f>
        <v>ICTVonline=201856651</v>
      </c>
      <c r="AA3691" s="1">
        <v>201850000</v>
      </c>
      <c r="AB3691" s="1">
        <v>34</v>
      </c>
    </row>
    <row r="3692" spans="1:28" x14ac:dyDescent="0.15">
      <c r="A3692" s="1">
        <v>9423</v>
      </c>
      <c r="J3692" s="1" t="s">
        <v>5115</v>
      </c>
      <c r="L3692" s="1" t="s">
        <v>2013</v>
      </c>
      <c r="N3692" s="1" t="s">
        <v>2014</v>
      </c>
      <c r="P3692" s="1" t="s">
        <v>5126</v>
      </c>
      <c r="Q3692" s="3">
        <v>0</v>
      </c>
      <c r="S3692" s="23" t="s">
        <v>5949</v>
      </c>
      <c r="W3692" s="45" t="str">
        <f>HYPERLINK("http://ictvonline.org/taxonomy/p/taxonomy-history?taxnode_id=201852842","ICTVonline=201852842")</f>
        <v>ICTVonline=201852842</v>
      </c>
      <c r="AA3692" s="1">
        <v>201850000</v>
      </c>
      <c r="AB3692" s="1">
        <v>34</v>
      </c>
    </row>
    <row r="3693" spans="1:28" x14ac:dyDescent="0.15">
      <c r="A3693" s="1">
        <v>9425</v>
      </c>
      <c r="J3693" s="1" t="s">
        <v>5115</v>
      </c>
      <c r="L3693" s="1" t="s">
        <v>2013</v>
      </c>
      <c r="N3693" s="1" t="s">
        <v>2014</v>
      </c>
      <c r="P3693" s="1" t="s">
        <v>4642</v>
      </c>
      <c r="Q3693" s="3">
        <v>0</v>
      </c>
      <c r="S3693" s="23" t="s">
        <v>5949</v>
      </c>
      <c r="W3693" s="45" t="str">
        <f>HYPERLINK("http://ictvonline.org/taxonomy/p/taxonomy-history?taxnode_id=201852843","ICTVonline=201852843")</f>
        <v>ICTVonline=201852843</v>
      </c>
      <c r="AA3693" s="1">
        <v>201850000</v>
      </c>
      <c r="AB3693" s="1">
        <v>34</v>
      </c>
    </row>
    <row r="3694" spans="1:28" x14ac:dyDescent="0.15">
      <c r="A3694" s="1">
        <v>9427</v>
      </c>
      <c r="J3694" s="1" t="s">
        <v>5115</v>
      </c>
      <c r="L3694" s="1" t="s">
        <v>2013</v>
      </c>
      <c r="N3694" s="1" t="s">
        <v>2014</v>
      </c>
      <c r="P3694" s="1" t="s">
        <v>2678</v>
      </c>
      <c r="Q3694" s="3">
        <v>0</v>
      </c>
      <c r="S3694" s="23" t="s">
        <v>5949</v>
      </c>
      <c r="W3694" s="45" t="str">
        <f>HYPERLINK("http://ictvonline.org/taxonomy/p/taxonomy-history?taxnode_id=201852844","ICTVonline=201852844")</f>
        <v>ICTVonline=201852844</v>
      </c>
      <c r="AA3694" s="1">
        <v>201850000</v>
      </c>
      <c r="AB3694" s="1">
        <v>34</v>
      </c>
    </row>
    <row r="3695" spans="1:28" x14ac:dyDescent="0.15">
      <c r="A3695" s="1">
        <v>9429</v>
      </c>
      <c r="J3695" s="1" t="s">
        <v>5115</v>
      </c>
      <c r="L3695" s="1" t="s">
        <v>2013</v>
      </c>
      <c r="N3695" s="1" t="s">
        <v>2014</v>
      </c>
      <c r="P3695" s="1" t="s">
        <v>81</v>
      </c>
      <c r="Q3695" s="3">
        <v>0</v>
      </c>
      <c r="S3695" s="23" t="s">
        <v>5949</v>
      </c>
      <c r="W3695" s="45" t="str">
        <f>HYPERLINK("http://ictvonline.org/taxonomy/p/taxonomy-history?taxnode_id=201852845","ICTVonline=201852845")</f>
        <v>ICTVonline=201852845</v>
      </c>
      <c r="AA3695" s="1">
        <v>201850000</v>
      </c>
      <c r="AB3695" s="1">
        <v>34</v>
      </c>
    </row>
    <row r="3696" spans="1:28" x14ac:dyDescent="0.15">
      <c r="A3696" s="1">
        <v>9431</v>
      </c>
      <c r="J3696" s="1" t="s">
        <v>5115</v>
      </c>
      <c r="L3696" s="1" t="s">
        <v>2013</v>
      </c>
      <c r="N3696" s="1" t="s">
        <v>2014</v>
      </c>
      <c r="P3696" s="1" t="s">
        <v>82</v>
      </c>
      <c r="Q3696" s="3">
        <v>0</v>
      </c>
      <c r="S3696" s="23" t="s">
        <v>5949</v>
      </c>
      <c r="W3696" s="45" t="str">
        <f>HYPERLINK("http://ictvonline.org/taxonomy/p/taxonomy-history?taxnode_id=201852846","ICTVonline=201852846")</f>
        <v>ICTVonline=201852846</v>
      </c>
      <c r="AA3696" s="1">
        <v>201850000</v>
      </c>
      <c r="AB3696" s="1">
        <v>34</v>
      </c>
    </row>
    <row r="3697" spans="1:28" x14ac:dyDescent="0.15">
      <c r="A3697" s="1">
        <v>9433</v>
      </c>
      <c r="J3697" s="1" t="s">
        <v>5115</v>
      </c>
      <c r="L3697" s="1" t="s">
        <v>2013</v>
      </c>
      <c r="N3697" s="1" t="s">
        <v>2014</v>
      </c>
      <c r="P3697" s="1" t="s">
        <v>2025</v>
      </c>
      <c r="Q3697" s="3">
        <v>0</v>
      </c>
      <c r="S3697" s="23" t="s">
        <v>5949</v>
      </c>
      <c r="W3697" s="45" t="str">
        <f>HYPERLINK("http://ictvonline.org/taxonomy/p/taxonomy-history?taxnode_id=201852847","ICTVonline=201852847")</f>
        <v>ICTVonline=201852847</v>
      </c>
      <c r="AA3697" s="1">
        <v>201850000</v>
      </c>
      <c r="AB3697" s="1">
        <v>34</v>
      </c>
    </row>
    <row r="3698" spans="1:28" x14ac:dyDescent="0.15">
      <c r="A3698" s="1">
        <v>9435</v>
      </c>
      <c r="J3698" s="1" t="s">
        <v>5115</v>
      </c>
      <c r="L3698" s="1" t="s">
        <v>2013</v>
      </c>
      <c r="N3698" s="1" t="s">
        <v>2014</v>
      </c>
      <c r="P3698" s="1" t="s">
        <v>2026</v>
      </c>
      <c r="Q3698" s="3">
        <v>0</v>
      </c>
      <c r="S3698" s="23" t="s">
        <v>5949</v>
      </c>
      <c r="W3698" s="45" t="str">
        <f>HYPERLINK("http://ictvonline.org/taxonomy/p/taxonomy-history?taxnode_id=201852848","ICTVonline=201852848")</f>
        <v>ICTVonline=201852848</v>
      </c>
      <c r="AA3698" s="1">
        <v>201850000</v>
      </c>
      <c r="AB3698" s="1">
        <v>34</v>
      </c>
    </row>
    <row r="3699" spans="1:28" x14ac:dyDescent="0.15">
      <c r="A3699" s="1">
        <v>9437</v>
      </c>
      <c r="J3699" s="1" t="s">
        <v>5115</v>
      </c>
      <c r="L3699" s="1" t="s">
        <v>2013</v>
      </c>
      <c r="N3699" s="1" t="s">
        <v>2014</v>
      </c>
      <c r="P3699" s="1" t="s">
        <v>2027</v>
      </c>
      <c r="Q3699" s="3">
        <v>0</v>
      </c>
      <c r="S3699" s="23" t="s">
        <v>5949</v>
      </c>
      <c r="W3699" s="45" t="str">
        <f>HYPERLINK("http://ictvonline.org/taxonomy/p/taxonomy-history?taxnode_id=201852849","ICTVonline=201852849")</f>
        <v>ICTVonline=201852849</v>
      </c>
      <c r="AA3699" s="1">
        <v>201850000</v>
      </c>
      <c r="AB3699" s="1">
        <v>34</v>
      </c>
    </row>
    <row r="3700" spans="1:28" x14ac:dyDescent="0.15">
      <c r="A3700" s="1">
        <v>9439</v>
      </c>
      <c r="J3700" s="1" t="s">
        <v>5115</v>
      </c>
      <c r="L3700" s="1" t="s">
        <v>2013</v>
      </c>
      <c r="N3700" s="1" t="s">
        <v>2014</v>
      </c>
      <c r="P3700" s="1" t="s">
        <v>2752</v>
      </c>
      <c r="Q3700" s="3">
        <v>0</v>
      </c>
      <c r="S3700" s="23" t="s">
        <v>5949</v>
      </c>
      <c r="W3700" s="45" t="str">
        <f>HYPERLINK("http://ictvonline.org/taxonomy/p/taxonomy-history?taxnode_id=201852850","ICTVonline=201852850")</f>
        <v>ICTVonline=201852850</v>
      </c>
      <c r="AA3700" s="1">
        <v>201850000</v>
      </c>
      <c r="AB3700" s="1">
        <v>34</v>
      </c>
    </row>
    <row r="3701" spans="1:28" x14ac:dyDescent="0.15">
      <c r="A3701" s="1">
        <v>9441</v>
      </c>
      <c r="J3701" s="1" t="s">
        <v>5115</v>
      </c>
      <c r="L3701" s="1" t="s">
        <v>2013</v>
      </c>
      <c r="N3701" s="1" t="s">
        <v>2014</v>
      </c>
      <c r="P3701" s="1" t="s">
        <v>3751</v>
      </c>
      <c r="Q3701" s="3">
        <v>0</v>
      </c>
      <c r="S3701" s="23" t="s">
        <v>5949</v>
      </c>
      <c r="W3701" s="45" t="str">
        <f>HYPERLINK("http://ictvonline.org/taxonomy/p/taxonomy-history?taxnode_id=201852851","ICTVonline=201852851")</f>
        <v>ICTVonline=201852851</v>
      </c>
      <c r="AA3701" s="1">
        <v>201850000</v>
      </c>
      <c r="AB3701" s="1">
        <v>34</v>
      </c>
    </row>
    <row r="3702" spans="1:28" x14ac:dyDescent="0.15">
      <c r="A3702" s="1">
        <v>9443</v>
      </c>
      <c r="J3702" s="1" t="s">
        <v>5115</v>
      </c>
      <c r="L3702" s="1" t="s">
        <v>2013</v>
      </c>
      <c r="N3702" s="1" t="s">
        <v>2014</v>
      </c>
      <c r="P3702" s="1" t="s">
        <v>3752</v>
      </c>
      <c r="Q3702" s="3">
        <v>0</v>
      </c>
      <c r="S3702" s="23" t="s">
        <v>5949</v>
      </c>
      <c r="W3702" s="45" t="str">
        <f>HYPERLINK("http://ictvonline.org/taxonomy/p/taxonomy-history?taxnode_id=201852852","ICTVonline=201852852")</f>
        <v>ICTVonline=201852852</v>
      </c>
      <c r="AA3702" s="1">
        <v>201850000</v>
      </c>
      <c r="AB3702" s="1">
        <v>34</v>
      </c>
    </row>
    <row r="3703" spans="1:28" x14ac:dyDescent="0.15">
      <c r="A3703" s="1">
        <v>9445</v>
      </c>
      <c r="J3703" s="1" t="s">
        <v>5115</v>
      </c>
      <c r="L3703" s="1" t="s">
        <v>2013</v>
      </c>
      <c r="N3703" s="1" t="s">
        <v>2014</v>
      </c>
      <c r="P3703" s="1" t="s">
        <v>2022</v>
      </c>
      <c r="Q3703" s="3">
        <v>0</v>
      </c>
      <c r="S3703" s="23" t="s">
        <v>5949</v>
      </c>
      <c r="W3703" s="45" t="str">
        <f>HYPERLINK("http://ictvonline.org/taxonomy/p/taxonomy-history?taxnode_id=201852853","ICTVonline=201852853")</f>
        <v>ICTVonline=201852853</v>
      </c>
      <c r="AA3703" s="1">
        <v>201850000</v>
      </c>
      <c r="AB3703" s="1">
        <v>34</v>
      </c>
    </row>
    <row r="3704" spans="1:28" x14ac:dyDescent="0.15">
      <c r="A3704" s="1">
        <v>9447</v>
      </c>
      <c r="J3704" s="1" t="s">
        <v>5115</v>
      </c>
      <c r="L3704" s="1" t="s">
        <v>2013</v>
      </c>
      <c r="N3704" s="1" t="s">
        <v>2014</v>
      </c>
      <c r="P3704" s="1" t="s">
        <v>83</v>
      </c>
      <c r="Q3704" s="3">
        <v>0</v>
      </c>
      <c r="S3704" s="23" t="s">
        <v>5949</v>
      </c>
      <c r="W3704" s="45" t="str">
        <f>HYPERLINK("http://ictvonline.org/taxonomy/p/taxonomy-history?taxnode_id=201852854","ICTVonline=201852854")</f>
        <v>ICTVonline=201852854</v>
      </c>
      <c r="AA3704" s="1">
        <v>201850000</v>
      </c>
      <c r="AB3704" s="1">
        <v>34</v>
      </c>
    </row>
    <row r="3705" spans="1:28" x14ac:dyDescent="0.15">
      <c r="A3705" s="1">
        <v>9449</v>
      </c>
      <c r="J3705" s="1" t="s">
        <v>5115</v>
      </c>
      <c r="L3705" s="1" t="s">
        <v>2013</v>
      </c>
      <c r="N3705" s="1" t="s">
        <v>2014</v>
      </c>
      <c r="P3705" s="1" t="s">
        <v>84</v>
      </c>
      <c r="Q3705" s="3">
        <v>0</v>
      </c>
      <c r="S3705" s="23" t="s">
        <v>5949</v>
      </c>
      <c r="W3705" s="45" t="str">
        <f>HYPERLINK("http://ictvonline.org/taxonomy/p/taxonomy-history?taxnode_id=201852855","ICTVonline=201852855")</f>
        <v>ICTVonline=201852855</v>
      </c>
      <c r="AA3705" s="1">
        <v>201850000</v>
      </c>
      <c r="AB3705" s="1">
        <v>34</v>
      </c>
    </row>
    <row r="3706" spans="1:28" x14ac:dyDescent="0.15">
      <c r="A3706" s="1">
        <v>9451</v>
      </c>
      <c r="J3706" s="1" t="s">
        <v>5115</v>
      </c>
      <c r="L3706" s="1" t="s">
        <v>2013</v>
      </c>
      <c r="N3706" s="1" t="s">
        <v>2014</v>
      </c>
      <c r="P3706" s="1" t="s">
        <v>4643</v>
      </c>
      <c r="Q3706" s="3">
        <v>0</v>
      </c>
      <c r="S3706" s="23" t="s">
        <v>5949</v>
      </c>
      <c r="W3706" s="45" t="str">
        <f>HYPERLINK("http://ictvonline.org/taxonomy/p/taxonomy-history?taxnode_id=201852856","ICTVonline=201852856")</f>
        <v>ICTVonline=201852856</v>
      </c>
      <c r="AA3706" s="1">
        <v>201850000</v>
      </c>
      <c r="AB3706" s="1">
        <v>34</v>
      </c>
    </row>
    <row r="3707" spans="1:28" x14ac:dyDescent="0.15">
      <c r="A3707" s="1">
        <v>9453</v>
      </c>
      <c r="J3707" s="1" t="s">
        <v>5115</v>
      </c>
      <c r="L3707" s="1" t="s">
        <v>2013</v>
      </c>
      <c r="N3707" s="1" t="s">
        <v>2014</v>
      </c>
      <c r="P3707" s="1" t="s">
        <v>2023</v>
      </c>
      <c r="Q3707" s="3">
        <v>0</v>
      </c>
      <c r="S3707" s="23" t="s">
        <v>5949</v>
      </c>
      <c r="W3707" s="45" t="str">
        <f>HYPERLINK("http://ictvonline.org/taxonomy/p/taxonomy-history?taxnode_id=201852857","ICTVonline=201852857")</f>
        <v>ICTVonline=201852857</v>
      </c>
      <c r="AA3707" s="1">
        <v>201850000</v>
      </c>
      <c r="AB3707" s="1">
        <v>34</v>
      </c>
    </row>
    <row r="3708" spans="1:28" x14ac:dyDescent="0.15">
      <c r="A3708" s="1">
        <v>9455</v>
      </c>
      <c r="J3708" s="1" t="s">
        <v>5115</v>
      </c>
      <c r="L3708" s="1" t="s">
        <v>2013</v>
      </c>
      <c r="N3708" s="1" t="s">
        <v>2014</v>
      </c>
      <c r="P3708" s="1" t="s">
        <v>5127</v>
      </c>
      <c r="Q3708" s="3">
        <v>0</v>
      </c>
      <c r="S3708" s="23" t="s">
        <v>5949</v>
      </c>
      <c r="W3708" s="45" t="str">
        <f>HYPERLINK("http://ictvonline.org/taxonomy/p/taxonomy-history?taxnode_id=201855766","ICTVonline=201855766")</f>
        <v>ICTVonline=201855766</v>
      </c>
      <c r="AA3708" s="1">
        <v>201850000</v>
      </c>
      <c r="AB3708" s="1">
        <v>34</v>
      </c>
    </row>
    <row r="3709" spans="1:28" x14ac:dyDescent="0.15">
      <c r="A3709" s="1">
        <v>9457</v>
      </c>
      <c r="J3709" s="1" t="s">
        <v>5115</v>
      </c>
      <c r="L3709" s="1" t="s">
        <v>2013</v>
      </c>
      <c r="N3709" s="1" t="s">
        <v>2014</v>
      </c>
      <c r="P3709" s="1" t="s">
        <v>4644</v>
      </c>
      <c r="Q3709" s="3">
        <v>0</v>
      </c>
      <c r="S3709" s="23" t="s">
        <v>5949</v>
      </c>
      <c r="W3709" s="45" t="str">
        <f>HYPERLINK("http://ictvonline.org/taxonomy/p/taxonomy-history?taxnode_id=201852858","ICTVonline=201852858")</f>
        <v>ICTVonline=201852858</v>
      </c>
      <c r="AA3709" s="1">
        <v>201850000</v>
      </c>
      <c r="AB3709" s="1">
        <v>34</v>
      </c>
    </row>
    <row r="3710" spans="1:28" x14ac:dyDescent="0.15">
      <c r="A3710" s="1">
        <v>9461</v>
      </c>
      <c r="J3710" s="1" t="s">
        <v>5115</v>
      </c>
      <c r="L3710" s="1" t="s">
        <v>2013</v>
      </c>
      <c r="N3710" s="1" t="s">
        <v>2131</v>
      </c>
      <c r="P3710" s="1" t="s">
        <v>6869</v>
      </c>
      <c r="Q3710" s="3">
        <v>0</v>
      </c>
      <c r="S3710" s="23" t="s">
        <v>5949</v>
      </c>
      <c r="T3710" s="23" t="s">
        <v>4929</v>
      </c>
      <c r="U3710" s="3">
        <v>34</v>
      </c>
      <c r="V3710" s="3" t="s">
        <v>6857</v>
      </c>
      <c r="W3710" s="45" t="str">
        <f>HYPERLINK("http://ictvonline.org/taxonomy/p/taxonomy-history?taxnode_id=201856640","ICTVonline=201856640")</f>
        <v>ICTVonline=201856640</v>
      </c>
      <c r="AA3710" s="1">
        <v>201850000</v>
      </c>
      <c r="AB3710" s="1">
        <v>34</v>
      </c>
    </row>
    <row r="3711" spans="1:28" x14ac:dyDescent="0.15">
      <c r="A3711" s="1">
        <v>9463</v>
      </c>
      <c r="J3711" s="1" t="s">
        <v>5115</v>
      </c>
      <c r="L3711" s="1" t="s">
        <v>2013</v>
      </c>
      <c r="N3711" s="1" t="s">
        <v>2131</v>
      </c>
      <c r="P3711" s="1" t="s">
        <v>4645</v>
      </c>
      <c r="Q3711" s="3">
        <v>0</v>
      </c>
      <c r="S3711" s="23" t="s">
        <v>5949</v>
      </c>
      <c r="W3711" s="45" t="str">
        <f>HYPERLINK("http://ictvonline.org/taxonomy/p/taxonomy-history?taxnode_id=201852860","ICTVonline=201852860")</f>
        <v>ICTVonline=201852860</v>
      </c>
      <c r="AA3711" s="1">
        <v>201850000</v>
      </c>
      <c r="AB3711" s="1">
        <v>34</v>
      </c>
    </row>
    <row r="3712" spans="1:28" x14ac:dyDescent="0.15">
      <c r="A3712" s="1">
        <v>9465</v>
      </c>
      <c r="J3712" s="1" t="s">
        <v>5115</v>
      </c>
      <c r="L3712" s="1" t="s">
        <v>2013</v>
      </c>
      <c r="N3712" s="1" t="s">
        <v>2131</v>
      </c>
      <c r="P3712" s="1" t="s">
        <v>1940</v>
      </c>
      <c r="Q3712" s="3">
        <v>0</v>
      </c>
      <c r="S3712" s="23" t="s">
        <v>5949</v>
      </c>
      <c r="W3712" s="45" t="str">
        <f>HYPERLINK("http://ictvonline.org/taxonomy/p/taxonomy-history?taxnode_id=201852861","ICTVonline=201852861")</f>
        <v>ICTVonline=201852861</v>
      </c>
      <c r="AA3712" s="1">
        <v>201850000</v>
      </c>
      <c r="AB3712" s="1">
        <v>34</v>
      </c>
    </row>
    <row r="3713" spans="1:28" x14ac:dyDescent="0.15">
      <c r="A3713" s="1">
        <v>9467</v>
      </c>
      <c r="J3713" s="1" t="s">
        <v>5115</v>
      </c>
      <c r="L3713" s="1" t="s">
        <v>2013</v>
      </c>
      <c r="N3713" s="1" t="s">
        <v>2131</v>
      </c>
      <c r="P3713" s="1" t="s">
        <v>1941</v>
      </c>
      <c r="Q3713" s="3">
        <v>1</v>
      </c>
      <c r="S3713" s="23" t="s">
        <v>5949</v>
      </c>
      <c r="W3713" s="45" t="str">
        <f>HYPERLINK("http://ictvonline.org/taxonomy/p/taxonomy-history?taxnode_id=201852862","ICTVonline=201852862")</f>
        <v>ICTVonline=201852862</v>
      </c>
      <c r="AA3713" s="1">
        <v>201850000</v>
      </c>
      <c r="AB3713" s="1">
        <v>34</v>
      </c>
    </row>
    <row r="3714" spans="1:28" x14ac:dyDescent="0.15">
      <c r="A3714" s="1">
        <v>9469</v>
      </c>
      <c r="J3714" s="1" t="s">
        <v>5115</v>
      </c>
      <c r="L3714" s="1" t="s">
        <v>2013</v>
      </c>
      <c r="N3714" s="1" t="s">
        <v>2131</v>
      </c>
      <c r="P3714" s="1" t="s">
        <v>2036</v>
      </c>
      <c r="Q3714" s="3">
        <v>0</v>
      </c>
      <c r="S3714" s="23" t="s">
        <v>5949</v>
      </c>
      <c r="W3714" s="45" t="str">
        <f>HYPERLINK("http://ictvonline.org/taxonomy/p/taxonomy-history?taxnode_id=201852863","ICTVonline=201852863")</f>
        <v>ICTVonline=201852863</v>
      </c>
      <c r="AA3714" s="1">
        <v>201850000</v>
      </c>
      <c r="AB3714" s="1">
        <v>34</v>
      </c>
    </row>
    <row r="3715" spans="1:28" x14ac:dyDescent="0.15">
      <c r="A3715" s="1">
        <v>9471</v>
      </c>
      <c r="J3715" s="1" t="s">
        <v>5115</v>
      </c>
      <c r="L3715" s="1" t="s">
        <v>2013</v>
      </c>
      <c r="N3715" s="1" t="s">
        <v>2131</v>
      </c>
      <c r="P3715" s="1" t="s">
        <v>1775</v>
      </c>
      <c r="Q3715" s="3">
        <v>0</v>
      </c>
      <c r="S3715" s="23" t="s">
        <v>5949</v>
      </c>
      <c r="W3715" s="45" t="str">
        <f>HYPERLINK("http://ictvonline.org/taxonomy/p/taxonomy-history?taxnode_id=201852864","ICTVonline=201852864")</f>
        <v>ICTVonline=201852864</v>
      </c>
      <c r="AA3715" s="1">
        <v>201850000</v>
      </c>
      <c r="AB3715" s="1">
        <v>34</v>
      </c>
    </row>
    <row r="3716" spans="1:28" x14ac:dyDescent="0.15">
      <c r="A3716" s="1">
        <v>9473</v>
      </c>
      <c r="J3716" s="1" t="s">
        <v>5115</v>
      </c>
      <c r="L3716" s="1" t="s">
        <v>2013</v>
      </c>
      <c r="N3716" s="1" t="s">
        <v>2131</v>
      </c>
      <c r="P3716" s="1" t="s">
        <v>1776</v>
      </c>
      <c r="Q3716" s="3">
        <v>0</v>
      </c>
      <c r="S3716" s="23" t="s">
        <v>5949</v>
      </c>
      <c r="W3716" s="45" t="str">
        <f>HYPERLINK("http://ictvonline.org/taxonomy/p/taxonomy-history?taxnode_id=201852865","ICTVonline=201852865")</f>
        <v>ICTVonline=201852865</v>
      </c>
      <c r="AA3716" s="1">
        <v>201850000</v>
      </c>
      <c r="AB3716" s="1">
        <v>34</v>
      </c>
    </row>
    <row r="3717" spans="1:28" x14ac:dyDescent="0.15">
      <c r="A3717" s="1">
        <v>9475</v>
      </c>
      <c r="J3717" s="1" t="s">
        <v>5115</v>
      </c>
      <c r="L3717" s="1" t="s">
        <v>2013</v>
      </c>
      <c r="N3717" s="1" t="s">
        <v>2131</v>
      </c>
      <c r="P3717" s="1" t="s">
        <v>85</v>
      </c>
      <c r="Q3717" s="3">
        <v>0</v>
      </c>
      <c r="S3717" s="23" t="s">
        <v>5949</v>
      </c>
      <c r="W3717" s="45" t="str">
        <f>HYPERLINK("http://ictvonline.org/taxonomy/p/taxonomy-history?taxnode_id=201852866","ICTVonline=201852866")</f>
        <v>ICTVonline=201852866</v>
      </c>
      <c r="AA3717" s="1">
        <v>201850000</v>
      </c>
      <c r="AB3717" s="1">
        <v>34</v>
      </c>
    </row>
    <row r="3718" spans="1:28" x14ac:dyDescent="0.15">
      <c r="A3718" s="1">
        <v>9477</v>
      </c>
      <c r="J3718" s="1" t="s">
        <v>5115</v>
      </c>
      <c r="L3718" s="1" t="s">
        <v>2013</v>
      </c>
      <c r="N3718" s="1" t="s">
        <v>2131</v>
      </c>
      <c r="P3718" s="1" t="s">
        <v>741</v>
      </c>
      <c r="Q3718" s="3">
        <v>0</v>
      </c>
      <c r="S3718" s="23" t="s">
        <v>5949</v>
      </c>
      <c r="W3718" s="45" t="str">
        <f>HYPERLINK("http://ictvonline.org/taxonomy/p/taxonomy-history?taxnode_id=201852867","ICTVonline=201852867")</f>
        <v>ICTVonline=201852867</v>
      </c>
      <c r="AA3718" s="1">
        <v>201850000</v>
      </c>
      <c r="AB3718" s="1">
        <v>34</v>
      </c>
    </row>
    <row r="3719" spans="1:28" x14ac:dyDescent="0.15">
      <c r="A3719" s="1">
        <v>9479</v>
      </c>
      <c r="J3719" s="1" t="s">
        <v>5115</v>
      </c>
      <c r="L3719" s="1" t="s">
        <v>2013</v>
      </c>
      <c r="N3719" s="1" t="s">
        <v>2131</v>
      </c>
      <c r="P3719" s="1" t="s">
        <v>6870</v>
      </c>
      <c r="Q3719" s="3">
        <v>0</v>
      </c>
      <c r="S3719" s="23" t="s">
        <v>5949</v>
      </c>
      <c r="T3719" s="23" t="s">
        <v>4929</v>
      </c>
      <c r="U3719" s="3">
        <v>34</v>
      </c>
      <c r="V3719" s="3" t="s">
        <v>6857</v>
      </c>
      <c r="W3719" s="45" t="str">
        <f>HYPERLINK("http://ictvonline.org/taxonomy/p/taxonomy-history?taxnode_id=201856652","ICTVonline=201856652")</f>
        <v>ICTVonline=201856652</v>
      </c>
      <c r="AA3719" s="1">
        <v>201850000</v>
      </c>
      <c r="AB3719" s="1">
        <v>34</v>
      </c>
    </row>
    <row r="3720" spans="1:28" x14ac:dyDescent="0.15">
      <c r="A3720" s="1">
        <v>9481</v>
      </c>
      <c r="J3720" s="1" t="s">
        <v>5115</v>
      </c>
      <c r="L3720" s="1" t="s">
        <v>2013</v>
      </c>
      <c r="N3720" s="1" t="s">
        <v>2131</v>
      </c>
      <c r="P3720" s="1" t="s">
        <v>2679</v>
      </c>
      <c r="Q3720" s="3">
        <v>0</v>
      </c>
      <c r="S3720" s="23" t="s">
        <v>5949</v>
      </c>
      <c r="W3720" s="45" t="str">
        <f>HYPERLINK("http://ictvonline.org/taxonomy/p/taxonomy-history?taxnode_id=201852868","ICTVonline=201852868")</f>
        <v>ICTVonline=201852868</v>
      </c>
      <c r="AA3720" s="1">
        <v>201850000</v>
      </c>
      <c r="AB3720" s="1">
        <v>34</v>
      </c>
    </row>
    <row r="3721" spans="1:28" x14ac:dyDescent="0.15">
      <c r="A3721" s="1">
        <v>9483</v>
      </c>
      <c r="J3721" s="1" t="s">
        <v>5115</v>
      </c>
      <c r="L3721" s="1" t="s">
        <v>2013</v>
      </c>
      <c r="N3721" s="1" t="s">
        <v>2131</v>
      </c>
      <c r="P3721" s="1" t="s">
        <v>742</v>
      </c>
      <c r="Q3721" s="3">
        <v>0</v>
      </c>
      <c r="S3721" s="23" t="s">
        <v>5949</v>
      </c>
      <c r="W3721" s="45" t="str">
        <f>HYPERLINK("http://ictvonline.org/taxonomy/p/taxonomy-history?taxnode_id=201852869","ICTVonline=201852869")</f>
        <v>ICTVonline=201852869</v>
      </c>
      <c r="AA3721" s="1">
        <v>201850000</v>
      </c>
      <c r="AB3721" s="1">
        <v>34</v>
      </c>
    </row>
    <row r="3722" spans="1:28" x14ac:dyDescent="0.15">
      <c r="A3722" s="1">
        <v>9485</v>
      </c>
      <c r="J3722" s="1" t="s">
        <v>5115</v>
      </c>
      <c r="L3722" s="1" t="s">
        <v>2013</v>
      </c>
      <c r="N3722" s="1" t="s">
        <v>2131</v>
      </c>
      <c r="P3722" s="1" t="s">
        <v>743</v>
      </c>
      <c r="Q3722" s="3">
        <v>0</v>
      </c>
      <c r="S3722" s="23" t="s">
        <v>5949</v>
      </c>
      <c r="W3722" s="45" t="str">
        <f>HYPERLINK("http://ictvonline.org/taxonomy/p/taxonomy-history?taxnode_id=201852870","ICTVonline=201852870")</f>
        <v>ICTVonline=201852870</v>
      </c>
      <c r="AA3722" s="1">
        <v>201850000</v>
      </c>
      <c r="AB3722" s="1">
        <v>34</v>
      </c>
    </row>
    <row r="3723" spans="1:28" x14ac:dyDescent="0.15">
      <c r="A3723" s="1">
        <v>9489</v>
      </c>
      <c r="J3723" s="1" t="s">
        <v>5115</v>
      </c>
      <c r="L3723" s="1" t="s">
        <v>2013</v>
      </c>
      <c r="N3723" s="1" t="s">
        <v>744</v>
      </c>
      <c r="P3723" s="1" t="s">
        <v>745</v>
      </c>
      <c r="Q3723" s="3">
        <v>1</v>
      </c>
      <c r="S3723" s="23" t="s">
        <v>5949</v>
      </c>
      <c r="W3723" s="45" t="str">
        <f>HYPERLINK("http://ictvonline.org/taxonomy/p/taxonomy-history?taxnode_id=201852872","ICTVonline=201852872")</f>
        <v>ICTVonline=201852872</v>
      </c>
      <c r="AA3723" s="1">
        <v>201850000</v>
      </c>
      <c r="AB3723" s="1">
        <v>34</v>
      </c>
    </row>
    <row r="3724" spans="1:28" x14ac:dyDescent="0.15">
      <c r="A3724" s="1">
        <v>9491</v>
      </c>
      <c r="J3724" s="1" t="s">
        <v>5115</v>
      </c>
      <c r="L3724" s="1" t="s">
        <v>2013</v>
      </c>
      <c r="N3724" s="1" t="s">
        <v>744</v>
      </c>
      <c r="P3724" s="1" t="s">
        <v>1722</v>
      </c>
      <c r="Q3724" s="3">
        <v>0</v>
      </c>
      <c r="S3724" s="23" t="s">
        <v>5949</v>
      </c>
      <c r="W3724" s="45" t="str">
        <f>HYPERLINK("http://ictvonline.org/taxonomy/p/taxonomy-history?taxnode_id=201852873","ICTVonline=201852873")</f>
        <v>ICTVonline=201852873</v>
      </c>
      <c r="AA3724" s="1">
        <v>201850000</v>
      </c>
      <c r="AB3724" s="1">
        <v>34</v>
      </c>
    </row>
    <row r="3725" spans="1:28" x14ac:dyDescent="0.15">
      <c r="A3725" s="1">
        <v>9495</v>
      </c>
      <c r="J3725" s="1" t="s">
        <v>5115</v>
      </c>
      <c r="L3725" s="1" t="s">
        <v>2013</v>
      </c>
      <c r="N3725" s="1" t="s">
        <v>747</v>
      </c>
      <c r="P3725" s="1" t="s">
        <v>1200</v>
      </c>
      <c r="Q3725" s="3">
        <v>1</v>
      </c>
      <c r="S3725" s="23" t="s">
        <v>5949</v>
      </c>
      <c r="W3725" s="45" t="str">
        <f>HYPERLINK("http://ictvonline.org/taxonomy/p/taxonomy-history?taxnode_id=201852875","ICTVonline=201852875")</f>
        <v>ICTVonline=201852875</v>
      </c>
      <c r="AA3725" s="1">
        <v>201850000</v>
      </c>
      <c r="AB3725" s="1">
        <v>34</v>
      </c>
    </row>
    <row r="3726" spans="1:28" x14ac:dyDescent="0.15">
      <c r="A3726" s="1">
        <v>9499</v>
      </c>
      <c r="J3726" s="1" t="s">
        <v>5115</v>
      </c>
      <c r="L3726" s="1" t="s">
        <v>2013</v>
      </c>
      <c r="N3726" s="1" t="s">
        <v>2680</v>
      </c>
      <c r="P3726" s="1" t="s">
        <v>2681</v>
      </c>
      <c r="Q3726" s="3">
        <v>1</v>
      </c>
      <c r="S3726" s="23" t="s">
        <v>5949</v>
      </c>
      <c r="W3726" s="45" t="str">
        <f>HYPERLINK("http://ictvonline.org/taxonomy/p/taxonomy-history?taxnode_id=201852877","ICTVonline=201852877")</f>
        <v>ICTVonline=201852877</v>
      </c>
      <c r="AA3726" s="1">
        <v>201850000</v>
      </c>
      <c r="AB3726" s="1">
        <v>34</v>
      </c>
    </row>
    <row r="3727" spans="1:28" x14ac:dyDescent="0.15">
      <c r="A3727" s="1">
        <v>9503</v>
      </c>
      <c r="J3727" s="1" t="s">
        <v>5115</v>
      </c>
      <c r="L3727" s="1" t="s">
        <v>2013</v>
      </c>
      <c r="N3727" s="1" t="s">
        <v>86</v>
      </c>
      <c r="P3727" s="1" t="s">
        <v>87</v>
      </c>
      <c r="Q3727" s="3">
        <v>0</v>
      </c>
      <c r="S3727" s="23" t="s">
        <v>5949</v>
      </c>
      <c r="W3727" s="45" t="str">
        <f>HYPERLINK("http://ictvonline.org/taxonomy/p/taxonomy-history?taxnode_id=201852879","ICTVonline=201852879")</f>
        <v>ICTVonline=201852879</v>
      </c>
      <c r="AA3727" s="1">
        <v>201850000</v>
      </c>
      <c r="AB3727" s="1">
        <v>34</v>
      </c>
    </row>
    <row r="3728" spans="1:28" x14ac:dyDescent="0.15">
      <c r="A3728" s="1">
        <v>9505</v>
      </c>
      <c r="J3728" s="1" t="s">
        <v>5115</v>
      </c>
      <c r="L3728" s="1" t="s">
        <v>2013</v>
      </c>
      <c r="N3728" s="1" t="s">
        <v>86</v>
      </c>
      <c r="P3728" s="1" t="s">
        <v>746</v>
      </c>
      <c r="Q3728" s="3">
        <v>1</v>
      </c>
      <c r="S3728" s="23" t="s">
        <v>5949</v>
      </c>
      <c r="W3728" s="45" t="str">
        <f>HYPERLINK("http://ictvonline.org/taxonomy/p/taxonomy-history?taxnode_id=201852880","ICTVonline=201852880")</f>
        <v>ICTVonline=201852880</v>
      </c>
      <c r="AA3728" s="1">
        <v>201850000</v>
      </c>
      <c r="AB3728" s="1">
        <v>34</v>
      </c>
    </row>
    <row r="3729" spans="1:28" x14ac:dyDescent="0.15">
      <c r="A3729" s="1">
        <v>9509</v>
      </c>
      <c r="J3729" s="1" t="s">
        <v>5115</v>
      </c>
      <c r="L3729" s="1" t="s">
        <v>2013</v>
      </c>
      <c r="N3729" s="1" t="s">
        <v>1201</v>
      </c>
      <c r="P3729" s="1" t="s">
        <v>1202</v>
      </c>
      <c r="Q3729" s="3">
        <v>0</v>
      </c>
      <c r="S3729" s="23" t="s">
        <v>5949</v>
      </c>
      <c r="W3729" s="45" t="str">
        <f>HYPERLINK("http://ictvonline.org/taxonomy/p/taxonomy-history?taxnode_id=201852882","ICTVonline=201852882")</f>
        <v>ICTVonline=201852882</v>
      </c>
      <c r="AA3729" s="1">
        <v>201850000</v>
      </c>
      <c r="AB3729" s="1">
        <v>34</v>
      </c>
    </row>
    <row r="3730" spans="1:28" x14ac:dyDescent="0.15">
      <c r="A3730" s="1">
        <v>9511</v>
      </c>
      <c r="J3730" s="1" t="s">
        <v>5115</v>
      </c>
      <c r="L3730" s="1" t="s">
        <v>2013</v>
      </c>
      <c r="N3730" s="1" t="s">
        <v>1201</v>
      </c>
      <c r="P3730" s="1" t="s">
        <v>88</v>
      </c>
      <c r="Q3730" s="3">
        <v>0</v>
      </c>
      <c r="S3730" s="23" t="s">
        <v>5949</v>
      </c>
      <c r="W3730" s="45" t="str">
        <f>HYPERLINK("http://ictvonline.org/taxonomy/p/taxonomy-history?taxnode_id=201852883","ICTVonline=201852883")</f>
        <v>ICTVonline=201852883</v>
      </c>
      <c r="AA3730" s="1">
        <v>201850000</v>
      </c>
      <c r="AB3730" s="1">
        <v>34</v>
      </c>
    </row>
    <row r="3731" spans="1:28" x14ac:dyDescent="0.15">
      <c r="A3731" s="1">
        <v>9513</v>
      </c>
      <c r="J3731" s="1" t="s">
        <v>5115</v>
      </c>
      <c r="L3731" s="1" t="s">
        <v>2013</v>
      </c>
      <c r="N3731" s="1" t="s">
        <v>1201</v>
      </c>
      <c r="P3731" s="1" t="s">
        <v>1203</v>
      </c>
      <c r="Q3731" s="3">
        <v>0</v>
      </c>
      <c r="S3731" s="23" t="s">
        <v>5949</v>
      </c>
      <c r="W3731" s="45" t="str">
        <f>HYPERLINK("http://ictvonline.org/taxonomy/p/taxonomy-history?taxnode_id=201852884","ICTVonline=201852884")</f>
        <v>ICTVonline=201852884</v>
      </c>
      <c r="AA3731" s="1">
        <v>201850000</v>
      </c>
      <c r="AB3731" s="1">
        <v>34</v>
      </c>
    </row>
    <row r="3732" spans="1:28" x14ac:dyDescent="0.15">
      <c r="A3732" s="1">
        <v>9515</v>
      </c>
      <c r="J3732" s="1" t="s">
        <v>5115</v>
      </c>
      <c r="L3732" s="1" t="s">
        <v>2013</v>
      </c>
      <c r="N3732" s="1" t="s">
        <v>1201</v>
      </c>
      <c r="P3732" s="1" t="s">
        <v>1204</v>
      </c>
      <c r="Q3732" s="3">
        <v>1</v>
      </c>
      <c r="S3732" s="23" t="s">
        <v>5949</v>
      </c>
      <c r="W3732" s="45" t="str">
        <f>HYPERLINK("http://ictvonline.org/taxonomy/p/taxonomy-history?taxnode_id=201852885","ICTVonline=201852885")</f>
        <v>ICTVonline=201852885</v>
      </c>
      <c r="AA3732" s="1">
        <v>201850000</v>
      </c>
      <c r="AB3732" s="1">
        <v>34</v>
      </c>
    </row>
    <row r="3733" spans="1:28" x14ac:dyDescent="0.15">
      <c r="A3733" s="1">
        <v>9519</v>
      </c>
      <c r="J3733" s="1" t="s">
        <v>5115</v>
      </c>
      <c r="L3733" s="1" t="s">
        <v>2013</v>
      </c>
      <c r="N3733" s="1" t="s">
        <v>1205</v>
      </c>
      <c r="P3733" s="1" t="s">
        <v>756</v>
      </c>
      <c r="Q3733" s="3">
        <v>1</v>
      </c>
      <c r="S3733" s="23" t="s">
        <v>5949</v>
      </c>
      <c r="W3733" s="45" t="str">
        <f>HYPERLINK("http://ictvonline.org/taxonomy/p/taxonomy-history?taxnode_id=201852887","ICTVonline=201852887")</f>
        <v>ICTVonline=201852887</v>
      </c>
      <c r="AA3733" s="1">
        <v>201850000</v>
      </c>
      <c r="AB3733" s="1">
        <v>34</v>
      </c>
    </row>
    <row r="3734" spans="1:28" x14ac:dyDescent="0.15">
      <c r="A3734" s="1">
        <v>9525</v>
      </c>
      <c r="J3734" s="1" t="s">
        <v>5115</v>
      </c>
      <c r="L3734" s="1" t="s">
        <v>1641</v>
      </c>
      <c r="N3734" s="1" t="s">
        <v>1049</v>
      </c>
      <c r="P3734" s="1" t="s">
        <v>1050</v>
      </c>
      <c r="Q3734" s="3">
        <v>0</v>
      </c>
      <c r="S3734" s="23" t="s">
        <v>5949</v>
      </c>
      <c r="W3734" s="45" t="str">
        <f>HYPERLINK("http://ictvonline.org/taxonomy/p/taxonomy-history?taxnode_id=201853814","ICTVonline=201853814")</f>
        <v>ICTVonline=201853814</v>
      </c>
      <c r="AA3734" s="1">
        <v>201850000</v>
      </c>
      <c r="AB3734" s="1">
        <v>34</v>
      </c>
    </row>
    <row r="3735" spans="1:28" x14ac:dyDescent="0.15">
      <c r="A3735" s="1">
        <v>9527</v>
      </c>
      <c r="J3735" s="1" t="s">
        <v>5115</v>
      </c>
      <c r="L3735" s="1" t="s">
        <v>1641</v>
      </c>
      <c r="N3735" s="1" t="s">
        <v>1049</v>
      </c>
      <c r="P3735" s="1" t="s">
        <v>1051</v>
      </c>
      <c r="Q3735" s="3">
        <v>0</v>
      </c>
      <c r="S3735" s="23" t="s">
        <v>5949</v>
      </c>
      <c r="W3735" s="45" t="str">
        <f>HYPERLINK("http://ictvonline.org/taxonomy/p/taxonomy-history?taxnode_id=201853815","ICTVonline=201853815")</f>
        <v>ICTVonline=201853815</v>
      </c>
      <c r="AA3735" s="1">
        <v>201850000</v>
      </c>
      <c r="AB3735" s="1">
        <v>34</v>
      </c>
    </row>
    <row r="3736" spans="1:28" x14ac:dyDescent="0.15">
      <c r="A3736" s="1">
        <v>9529</v>
      </c>
      <c r="J3736" s="1" t="s">
        <v>5115</v>
      </c>
      <c r="L3736" s="1" t="s">
        <v>1641</v>
      </c>
      <c r="N3736" s="1" t="s">
        <v>1049</v>
      </c>
      <c r="P3736" s="1" t="s">
        <v>5128</v>
      </c>
      <c r="Q3736" s="3">
        <v>0</v>
      </c>
      <c r="S3736" s="23" t="s">
        <v>5949</v>
      </c>
      <c r="W3736" s="45" t="str">
        <f>HYPERLINK("http://ictvonline.org/taxonomy/p/taxonomy-history?taxnode_id=201853816","ICTVonline=201853816")</f>
        <v>ICTVonline=201853816</v>
      </c>
      <c r="AA3736" s="1">
        <v>201850000</v>
      </c>
      <c r="AB3736" s="1">
        <v>34</v>
      </c>
    </row>
    <row r="3737" spans="1:28" x14ac:dyDescent="0.15">
      <c r="A3737" s="1">
        <v>9531</v>
      </c>
      <c r="J3737" s="1" t="s">
        <v>5115</v>
      </c>
      <c r="L3737" s="1" t="s">
        <v>1641</v>
      </c>
      <c r="N3737" s="1" t="s">
        <v>1049</v>
      </c>
      <c r="P3737" s="1" t="s">
        <v>1052</v>
      </c>
      <c r="Q3737" s="3">
        <v>0</v>
      </c>
      <c r="S3737" s="23" t="s">
        <v>5949</v>
      </c>
      <c r="W3737" s="45" t="str">
        <f>HYPERLINK("http://ictvonline.org/taxonomy/p/taxonomy-history?taxnode_id=201853817","ICTVonline=201853817")</f>
        <v>ICTVonline=201853817</v>
      </c>
      <c r="AA3737" s="1">
        <v>201850000</v>
      </c>
      <c r="AB3737" s="1">
        <v>34</v>
      </c>
    </row>
    <row r="3738" spans="1:28" x14ac:dyDescent="0.15">
      <c r="A3738" s="1">
        <v>9533</v>
      </c>
      <c r="J3738" s="1" t="s">
        <v>5115</v>
      </c>
      <c r="L3738" s="1" t="s">
        <v>1641</v>
      </c>
      <c r="N3738" s="1" t="s">
        <v>1049</v>
      </c>
      <c r="P3738" s="1" t="s">
        <v>677</v>
      </c>
      <c r="Q3738" s="3">
        <v>1</v>
      </c>
      <c r="S3738" s="23" t="s">
        <v>5949</v>
      </c>
      <c r="W3738" s="45" t="str">
        <f>HYPERLINK("http://ictvonline.org/taxonomy/p/taxonomy-history?taxnode_id=201853818","ICTVonline=201853818")</f>
        <v>ICTVonline=201853818</v>
      </c>
      <c r="AA3738" s="1">
        <v>201850000</v>
      </c>
      <c r="AB3738" s="1">
        <v>34</v>
      </c>
    </row>
    <row r="3739" spans="1:28" x14ac:dyDescent="0.15">
      <c r="A3739" s="1">
        <v>9535</v>
      </c>
      <c r="J3739" s="1" t="s">
        <v>5115</v>
      </c>
      <c r="L3739" s="1" t="s">
        <v>1641</v>
      </c>
      <c r="N3739" s="1" t="s">
        <v>1049</v>
      </c>
      <c r="P3739" s="1" t="s">
        <v>678</v>
      </c>
      <c r="Q3739" s="3">
        <v>0</v>
      </c>
      <c r="S3739" s="23" t="s">
        <v>5949</v>
      </c>
      <c r="W3739" s="45" t="str">
        <f>HYPERLINK("http://ictvonline.org/taxonomy/p/taxonomy-history?taxnode_id=201853819","ICTVonline=201853819")</f>
        <v>ICTVonline=201853819</v>
      </c>
      <c r="AA3739" s="1">
        <v>201850000</v>
      </c>
      <c r="AB3739" s="1">
        <v>34</v>
      </c>
    </row>
    <row r="3740" spans="1:28" x14ac:dyDescent="0.15">
      <c r="A3740" s="1">
        <v>9537</v>
      </c>
      <c r="J3740" s="1" t="s">
        <v>5115</v>
      </c>
      <c r="L3740" s="1" t="s">
        <v>1641</v>
      </c>
      <c r="N3740" s="1" t="s">
        <v>1049</v>
      </c>
      <c r="P3740" s="1" t="s">
        <v>679</v>
      </c>
      <c r="Q3740" s="3">
        <v>0</v>
      </c>
      <c r="S3740" s="23" t="s">
        <v>5949</v>
      </c>
      <c r="W3740" s="45" t="str">
        <f>HYPERLINK("http://ictvonline.org/taxonomy/p/taxonomy-history?taxnode_id=201853820","ICTVonline=201853820")</f>
        <v>ICTVonline=201853820</v>
      </c>
      <c r="AA3740" s="1">
        <v>201850000</v>
      </c>
      <c r="AB3740" s="1">
        <v>34</v>
      </c>
    </row>
    <row r="3741" spans="1:28" x14ac:dyDescent="0.15">
      <c r="A3741" s="1">
        <v>9539</v>
      </c>
      <c r="J3741" s="1" t="s">
        <v>5115</v>
      </c>
      <c r="L3741" s="1" t="s">
        <v>1641</v>
      </c>
      <c r="N3741" s="1" t="s">
        <v>1049</v>
      </c>
      <c r="P3741" s="1" t="s">
        <v>680</v>
      </c>
      <c r="Q3741" s="3">
        <v>0</v>
      </c>
      <c r="S3741" s="23" t="s">
        <v>5949</v>
      </c>
      <c r="W3741" s="45" t="str">
        <f>HYPERLINK("http://ictvonline.org/taxonomy/p/taxonomy-history?taxnode_id=201853821","ICTVonline=201853821")</f>
        <v>ICTVonline=201853821</v>
      </c>
      <c r="AA3741" s="1">
        <v>201850000</v>
      </c>
      <c r="AB3741" s="1">
        <v>34</v>
      </c>
    </row>
    <row r="3742" spans="1:28" x14ac:dyDescent="0.15">
      <c r="A3742" s="1">
        <v>9541</v>
      </c>
      <c r="J3742" s="1" t="s">
        <v>5115</v>
      </c>
      <c r="L3742" s="1" t="s">
        <v>1641</v>
      </c>
      <c r="N3742" s="1" t="s">
        <v>1049</v>
      </c>
      <c r="P3742" s="1" t="s">
        <v>681</v>
      </c>
      <c r="Q3742" s="3">
        <v>0</v>
      </c>
      <c r="S3742" s="23" t="s">
        <v>5949</v>
      </c>
      <c r="W3742" s="45" t="str">
        <f>HYPERLINK("http://ictvonline.org/taxonomy/p/taxonomy-history?taxnode_id=201853822","ICTVonline=201853822")</f>
        <v>ICTVonline=201853822</v>
      </c>
      <c r="AA3742" s="1">
        <v>201850000</v>
      </c>
      <c r="AB3742" s="1">
        <v>34</v>
      </c>
    </row>
    <row r="3743" spans="1:28" x14ac:dyDescent="0.15">
      <c r="A3743" s="1">
        <v>9543</v>
      </c>
      <c r="J3743" s="1" t="s">
        <v>5115</v>
      </c>
      <c r="L3743" s="1" t="s">
        <v>1641</v>
      </c>
      <c r="N3743" s="1" t="s">
        <v>1049</v>
      </c>
      <c r="P3743" s="1" t="s">
        <v>1054</v>
      </c>
      <c r="Q3743" s="3">
        <v>0</v>
      </c>
      <c r="S3743" s="23" t="s">
        <v>5949</v>
      </c>
      <c r="W3743" s="45" t="str">
        <f>HYPERLINK("http://ictvonline.org/taxonomy/p/taxonomy-history?taxnode_id=201853823","ICTVonline=201853823")</f>
        <v>ICTVonline=201853823</v>
      </c>
      <c r="AA3743" s="1">
        <v>201850000</v>
      </c>
      <c r="AB3743" s="1">
        <v>34</v>
      </c>
    </row>
    <row r="3744" spans="1:28" x14ac:dyDescent="0.15">
      <c r="A3744" s="1">
        <v>9547</v>
      </c>
      <c r="J3744" s="1" t="s">
        <v>5115</v>
      </c>
      <c r="L3744" s="1" t="s">
        <v>1641</v>
      </c>
      <c r="N3744" s="1" t="s">
        <v>1055</v>
      </c>
      <c r="P3744" s="1" t="s">
        <v>1056</v>
      </c>
      <c r="Q3744" s="3">
        <v>0</v>
      </c>
      <c r="S3744" s="23" t="s">
        <v>5949</v>
      </c>
      <c r="W3744" s="45" t="str">
        <f>HYPERLINK("http://ictvonline.org/taxonomy/p/taxonomy-history?taxnode_id=201853825","ICTVonline=201853825")</f>
        <v>ICTVonline=201853825</v>
      </c>
      <c r="AA3744" s="1">
        <v>201850000</v>
      </c>
      <c r="AB3744" s="1">
        <v>34</v>
      </c>
    </row>
    <row r="3745" spans="1:28" x14ac:dyDescent="0.15">
      <c r="A3745" s="1">
        <v>9549</v>
      </c>
      <c r="J3745" s="1" t="s">
        <v>5115</v>
      </c>
      <c r="L3745" s="1" t="s">
        <v>1641</v>
      </c>
      <c r="N3745" s="1" t="s">
        <v>1055</v>
      </c>
      <c r="P3745" s="1" t="s">
        <v>1057</v>
      </c>
      <c r="Q3745" s="3">
        <v>0</v>
      </c>
      <c r="S3745" s="23" t="s">
        <v>5949</v>
      </c>
      <c r="W3745" s="45" t="str">
        <f>HYPERLINK("http://ictvonline.org/taxonomy/p/taxonomy-history?taxnode_id=201853826","ICTVonline=201853826")</f>
        <v>ICTVonline=201853826</v>
      </c>
      <c r="AA3745" s="1">
        <v>201850000</v>
      </c>
      <c r="AB3745" s="1">
        <v>34</v>
      </c>
    </row>
    <row r="3746" spans="1:28" x14ac:dyDescent="0.15">
      <c r="A3746" s="1">
        <v>9551</v>
      </c>
      <c r="J3746" s="1" t="s">
        <v>5115</v>
      </c>
      <c r="L3746" s="1" t="s">
        <v>1641</v>
      </c>
      <c r="N3746" s="1" t="s">
        <v>1055</v>
      </c>
      <c r="P3746" s="1" t="s">
        <v>1058</v>
      </c>
      <c r="Q3746" s="3">
        <v>0</v>
      </c>
      <c r="S3746" s="23" t="s">
        <v>5949</v>
      </c>
      <c r="W3746" s="45" t="str">
        <f>HYPERLINK("http://ictvonline.org/taxonomy/p/taxonomy-history?taxnode_id=201853827","ICTVonline=201853827")</f>
        <v>ICTVonline=201853827</v>
      </c>
      <c r="AA3746" s="1">
        <v>201850000</v>
      </c>
      <c r="AB3746" s="1">
        <v>34</v>
      </c>
    </row>
    <row r="3747" spans="1:28" x14ac:dyDescent="0.15">
      <c r="A3747" s="1">
        <v>9553</v>
      </c>
      <c r="J3747" s="1" t="s">
        <v>5115</v>
      </c>
      <c r="L3747" s="1" t="s">
        <v>1641</v>
      </c>
      <c r="N3747" s="1" t="s">
        <v>1055</v>
      </c>
      <c r="P3747" s="1" t="s">
        <v>1059</v>
      </c>
      <c r="Q3747" s="3">
        <v>0</v>
      </c>
      <c r="S3747" s="23" t="s">
        <v>5949</v>
      </c>
      <c r="W3747" s="45" t="str">
        <f>HYPERLINK("http://ictvonline.org/taxonomy/p/taxonomy-history?taxnode_id=201853828","ICTVonline=201853828")</f>
        <v>ICTVonline=201853828</v>
      </c>
      <c r="AA3747" s="1">
        <v>201850000</v>
      </c>
      <c r="AB3747" s="1">
        <v>34</v>
      </c>
    </row>
    <row r="3748" spans="1:28" x14ac:dyDescent="0.15">
      <c r="A3748" s="1">
        <v>9555</v>
      </c>
      <c r="J3748" s="1" t="s">
        <v>5115</v>
      </c>
      <c r="L3748" s="1" t="s">
        <v>1641</v>
      </c>
      <c r="N3748" s="1" t="s">
        <v>1055</v>
      </c>
      <c r="P3748" s="1" t="s">
        <v>1060</v>
      </c>
      <c r="Q3748" s="3">
        <v>0</v>
      </c>
      <c r="S3748" s="23" t="s">
        <v>5949</v>
      </c>
      <c r="W3748" s="45" t="str">
        <f>HYPERLINK("http://ictvonline.org/taxonomy/p/taxonomy-history?taxnode_id=201853829","ICTVonline=201853829")</f>
        <v>ICTVonline=201853829</v>
      </c>
      <c r="AA3748" s="1">
        <v>201850000</v>
      </c>
      <c r="AB3748" s="1">
        <v>34</v>
      </c>
    </row>
    <row r="3749" spans="1:28" x14ac:dyDescent="0.15">
      <c r="A3749" s="1">
        <v>9557</v>
      </c>
      <c r="J3749" s="1" t="s">
        <v>5115</v>
      </c>
      <c r="L3749" s="1" t="s">
        <v>1641</v>
      </c>
      <c r="N3749" s="1" t="s">
        <v>1055</v>
      </c>
      <c r="P3749" s="1" t="s">
        <v>1061</v>
      </c>
      <c r="Q3749" s="3">
        <v>0</v>
      </c>
      <c r="S3749" s="23" t="s">
        <v>5949</v>
      </c>
      <c r="W3749" s="45" t="str">
        <f>HYPERLINK("http://ictvonline.org/taxonomy/p/taxonomy-history?taxnode_id=201853830","ICTVonline=201853830")</f>
        <v>ICTVonline=201853830</v>
      </c>
      <c r="AA3749" s="1">
        <v>201850000</v>
      </c>
      <c r="AB3749" s="1">
        <v>34</v>
      </c>
    </row>
    <row r="3750" spans="1:28" x14ac:dyDescent="0.15">
      <c r="A3750" s="1">
        <v>9559</v>
      </c>
      <c r="J3750" s="1" t="s">
        <v>5115</v>
      </c>
      <c r="L3750" s="1" t="s">
        <v>1641</v>
      </c>
      <c r="N3750" s="1" t="s">
        <v>1055</v>
      </c>
      <c r="P3750" s="1" t="s">
        <v>1147</v>
      </c>
      <c r="Q3750" s="3">
        <v>0</v>
      </c>
      <c r="S3750" s="23" t="s">
        <v>5949</v>
      </c>
      <c r="W3750" s="45" t="str">
        <f>HYPERLINK("http://ictvonline.org/taxonomy/p/taxonomy-history?taxnode_id=201853831","ICTVonline=201853831")</f>
        <v>ICTVonline=201853831</v>
      </c>
      <c r="AA3750" s="1">
        <v>201850000</v>
      </c>
      <c r="AB3750" s="1">
        <v>34</v>
      </c>
    </row>
    <row r="3751" spans="1:28" x14ac:dyDescent="0.15">
      <c r="A3751" s="1">
        <v>9561</v>
      </c>
      <c r="J3751" s="1" t="s">
        <v>5115</v>
      </c>
      <c r="L3751" s="1" t="s">
        <v>1641</v>
      </c>
      <c r="N3751" s="1" t="s">
        <v>1055</v>
      </c>
      <c r="P3751" s="1" t="s">
        <v>1148</v>
      </c>
      <c r="Q3751" s="3">
        <v>0</v>
      </c>
      <c r="S3751" s="23" t="s">
        <v>5949</v>
      </c>
      <c r="W3751" s="45" t="str">
        <f>HYPERLINK("http://ictvonline.org/taxonomy/p/taxonomy-history?taxnode_id=201853832","ICTVonline=201853832")</f>
        <v>ICTVonline=201853832</v>
      </c>
      <c r="AA3751" s="1">
        <v>201850000</v>
      </c>
      <c r="AB3751" s="1">
        <v>34</v>
      </c>
    </row>
    <row r="3752" spans="1:28" x14ac:dyDescent="0.15">
      <c r="A3752" s="1">
        <v>9563</v>
      </c>
      <c r="J3752" s="1" t="s">
        <v>5115</v>
      </c>
      <c r="L3752" s="1" t="s">
        <v>1641</v>
      </c>
      <c r="N3752" s="1" t="s">
        <v>1055</v>
      </c>
      <c r="P3752" s="1" t="s">
        <v>1149</v>
      </c>
      <c r="Q3752" s="3">
        <v>0</v>
      </c>
      <c r="S3752" s="23" t="s">
        <v>5949</v>
      </c>
      <c r="W3752" s="45" t="str">
        <f>HYPERLINK("http://ictvonline.org/taxonomy/p/taxonomy-history?taxnode_id=201853833","ICTVonline=201853833")</f>
        <v>ICTVonline=201853833</v>
      </c>
      <c r="AA3752" s="1">
        <v>201850000</v>
      </c>
      <c r="AB3752" s="1">
        <v>34</v>
      </c>
    </row>
    <row r="3753" spans="1:28" x14ac:dyDescent="0.15">
      <c r="A3753" s="1">
        <v>9565</v>
      </c>
      <c r="J3753" s="1" t="s">
        <v>5115</v>
      </c>
      <c r="L3753" s="1" t="s">
        <v>1641</v>
      </c>
      <c r="N3753" s="1" t="s">
        <v>1055</v>
      </c>
      <c r="P3753" s="1" t="s">
        <v>1150</v>
      </c>
      <c r="Q3753" s="3">
        <v>0</v>
      </c>
      <c r="S3753" s="23" t="s">
        <v>5949</v>
      </c>
      <c r="W3753" s="45" t="str">
        <f>HYPERLINK("http://ictvonline.org/taxonomy/p/taxonomy-history?taxnode_id=201853834","ICTVonline=201853834")</f>
        <v>ICTVonline=201853834</v>
      </c>
      <c r="AA3753" s="1">
        <v>201850000</v>
      </c>
      <c r="AB3753" s="1">
        <v>34</v>
      </c>
    </row>
    <row r="3754" spans="1:28" x14ac:dyDescent="0.15">
      <c r="A3754" s="1">
        <v>9567</v>
      </c>
      <c r="J3754" s="1" t="s">
        <v>5115</v>
      </c>
      <c r="L3754" s="1" t="s">
        <v>1641</v>
      </c>
      <c r="N3754" s="1" t="s">
        <v>1055</v>
      </c>
      <c r="P3754" s="1" t="s">
        <v>1151</v>
      </c>
      <c r="Q3754" s="3">
        <v>0</v>
      </c>
      <c r="S3754" s="23" t="s">
        <v>5949</v>
      </c>
      <c r="W3754" s="45" t="str">
        <f>HYPERLINK("http://ictvonline.org/taxonomy/p/taxonomy-history?taxnode_id=201853835","ICTVonline=201853835")</f>
        <v>ICTVonline=201853835</v>
      </c>
      <c r="AA3754" s="1">
        <v>201850000</v>
      </c>
      <c r="AB3754" s="1">
        <v>34</v>
      </c>
    </row>
    <row r="3755" spans="1:28" x14ac:dyDescent="0.15">
      <c r="A3755" s="1">
        <v>9569</v>
      </c>
      <c r="J3755" s="1" t="s">
        <v>5115</v>
      </c>
      <c r="L3755" s="1" t="s">
        <v>1641</v>
      </c>
      <c r="N3755" s="1" t="s">
        <v>1055</v>
      </c>
      <c r="P3755" s="1" t="s">
        <v>1152</v>
      </c>
      <c r="Q3755" s="3">
        <v>0</v>
      </c>
      <c r="S3755" s="23" t="s">
        <v>5949</v>
      </c>
      <c r="W3755" s="45" t="str">
        <f>HYPERLINK("http://ictvonline.org/taxonomy/p/taxonomy-history?taxnode_id=201853836","ICTVonline=201853836")</f>
        <v>ICTVonline=201853836</v>
      </c>
      <c r="AA3755" s="1">
        <v>201850000</v>
      </c>
      <c r="AB3755" s="1">
        <v>34</v>
      </c>
    </row>
    <row r="3756" spans="1:28" x14ac:dyDescent="0.15">
      <c r="A3756" s="1">
        <v>9571</v>
      </c>
      <c r="J3756" s="1" t="s">
        <v>5115</v>
      </c>
      <c r="L3756" s="1" t="s">
        <v>1641</v>
      </c>
      <c r="N3756" s="1" t="s">
        <v>1055</v>
      </c>
      <c r="P3756" s="1" t="s">
        <v>1673</v>
      </c>
      <c r="Q3756" s="3">
        <v>0</v>
      </c>
      <c r="S3756" s="23" t="s">
        <v>5949</v>
      </c>
      <c r="W3756" s="45" t="str">
        <f>HYPERLINK("http://ictvonline.org/taxonomy/p/taxonomy-history?taxnode_id=201853837","ICTVonline=201853837")</f>
        <v>ICTVonline=201853837</v>
      </c>
      <c r="AA3756" s="1">
        <v>201850000</v>
      </c>
      <c r="AB3756" s="1">
        <v>34</v>
      </c>
    </row>
    <row r="3757" spans="1:28" x14ac:dyDescent="0.15">
      <c r="A3757" s="1">
        <v>9573</v>
      </c>
      <c r="J3757" s="1" t="s">
        <v>5115</v>
      </c>
      <c r="L3757" s="1" t="s">
        <v>1641</v>
      </c>
      <c r="N3757" s="1" t="s">
        <v>1055</v>
      </c>
      <c r="P3757" s="1" t="s">
        <v>1674</v>
      </c>
      <c r="Q3757" s="3">
        <v>0</v>
      </c>
      <c r="S3757" s="23" t="s">
        <v>5949</v>
      </c>
      <c r="W3757" s="45" t="str">
        <f>HYPERLINK("http://ictvonline.org/taxonomy/p/taxonomy-history?taxnode_id=201853838","ICTVonline=201853838")</f>
        <v>ICTVonline=201853838</v>
      </c>
      <c r="AA3757" s="1">
        <v>201850000</v>
      </c>
      <c r="AB3757" s="1">
        <v>34</v>
      </c>
    </row>
    <row r="3758" spans="1:28" x14ac:dyDescent="0.15">
      <c r="A3758" s="1">
        <v>9575</v>
      </c>
      <c r="J3758" s="1" t="s">
        <v>5115</v>
      </c>
      <c r="L3758" s="1" t="s">
        <v>1641</v>
      </c>
      <c r="N3758" s="1" t="s">
        <v>1055</v>
      </c>
      <c r="P3758" s="1" t="s">
        <v>1675</v>
      </c>
      <c r="Q3758" s="3">
        <v>0</v>
      </c>
      <c r="S3758" s="23" t="s">
        <v>5949</v>
      </c>
      <c r="W3758" s="45" t="str">
        <f>HYPERLINK("http://ictvonline.org/taxonomy/p/taxonomy-history?taxnode_id=201853839","ICTVonline=201853839")</f>
        <v>ICTVonline=201853839</v>
      </c>
      <c r="AA3758" s="1">
        <v>201850000</v>
      </c>
      <c r="AB3758" s="1">
        <v>34</v>
      </c>
    </row>
    <row r="3759" spans="1:28" x14ac:dyDescent="0.15">
      <c r="A3759" s="1">
        <v>9577</v>
      </c>
      <c r="J3759" s="1" t="s">
        <v>5115</v>
      </c>
      <c r="L3759" s="1" t="s">
        <v>1641</v>
      </c>
      <c r="N3759" s="1" t="s">
        <v>1055</v>
      </c>
      <c r="P3759" s="1" t="s">
        <v>1676</v>
      </c>
      <c r="Q3759" s="3">
        <v>1</v>
      </c>
      <c r="S3759" s="23" t="s">
        <v>5949</v>
      </c>
      <c r="W3759" s="45" t="str">
        <f>HYPERLINK("http://ictvonline.org/taxonomy/p/taxonomy-history?taxnode_id=201853840","ICTVonline=201853840")</f>
        <v>ICTVonline=201853840</v>
      </c>
      <c r="AA3759" s="1">
        <v>201850000</v>
      </c>
      <c r="AB3759" s="1">
        <v>34</v>
      </c>
    </row>
    <row r="3760" spans="1:28" x14ac:dyDescent="0.15">
      <c r="A3760" s="1">
        <v>9579</v>
      </c>
      <c r="J3760" s="1" t="s">
        <v>5115</v>
      </c>
      <c r="L3760" s="1" t="s">
        <v>1641</v>
      </c>
      <c r="N3760" s="1" t="s">
        <v>1055</v>
      </c>
      <c r="P3760" s="1" t="s">
        <v>1677</v>
      </c>
      <c r="Q3760" s="3">
        <v>0</v>
      </c>
      <c r="S3760" s="23" t="s">
        <v>5949</v>
      </c>
      <c r="W3760" s="45" t="str">
        <f>HYPERLINK("http://ictvonline.org/taxonomy/p/taxonomy-history?taxnode_id=201853841","ICTVonline=201853841")</f>
        <v>ICTVonline=201853841</v>
      </c>
      <c r="AA3760" s="1">
        <v>201850000</v>
      </c>
      <c r="AB3760" s="1">
        <v>34</v>
      </c>
    </row>
    <row r="3761" spans="1:28" x14ac:dyDescent="0.15">
      <c r="A3761" s="1">
        <v>9581</v>
      </c>
      <c r="J3761" s="1" t="s">
        <v>5115</v>
      </c>
      <c r="L3761" s="1" t="s">
        <v>1641</v>
      </c>
      <c r="N3761" s="1" t="s">
        <v>1055</v>
      </c>
      <c r="P3761" s="1" t="s">
        <v>1669</v>
      </c>
      <c r="Q3761" s="3">
        <v>0</v>
      </c>
      <c r="S3761" s="23" t="s">
        <v>5949</v>
      </c>
      <c r="W3761" s="45" t="str">
        <f>HYPERLINK("http://ictvonline.org/taxonomy/p/taxonomy-history?taxnode_id=201853842","ICTVonline=201853842")</f>
        <v>ICTVonline=201853842</v>
      </c>
      <c r="AA3761" s="1">
        <v>201850000</v>
      </c>
      <c r="AB3761" s="1">
        <v>34</v>
      </c>
    </row>
    <row r="3762" spans="1:28" x14ac:dyDescent="0.15">
      <c r="A3762" s="1">
        <v>9583</v>
      </c>
      <c r="J3762" s="1" t="s">
        <v>5115</v>
      </c>
      <c r="L3762" s="1" t="s">
        <v>1641</v>
      </c>
      <c r="N3762" s="1" t="s">
        <v>1055</v>
      </c>
      <c r="P3762" s="1" t="s">
        <v>1670</v>
      </c>
      <c r="Q3762" s="3">
        <v>0</v>
      </c>
      <c r="S3762" s="23" t="s">
        <v>5949</v>
      </c>
      <c r="W3762" s="45" t="str">
        <f>HYPERLINK("http://ictvonline.org/taxonomy/p/taxonomy-history?taxnode_id=201853843","ICTVonline=201853843")</f>
        <v>ICTVonline=201853843</v>
      </c>
      <c r="AA3762" s="1">
        <v>201850000</v>
      </c>
      <c r="AB3762" s="1">
        <v>34</v>
      </c>
    </row>
    <row r="3763" spans="1:28" x14ac:dyDescent="0.15">
      <c r="A3763" s="1">
        <v>9585</v>
      </c>
      <c r="J3763" s="1" t="s">
        <v>5115</v>
      </c>
      <c r="L3763" s="1" t="s">
        <v>1641</v>
      </c>
      <c r="N3763" s="1" t="s">
        <v>1055</v>
      </c>
      <c r="P3763" s="1" t="s">
        <v>1671</v>
      </c>
      <c r="Q3763" s="3">
        <v>0</v>
      </c>
      <c r="S3763" s="23" t="s">
        <v>5949</v>
      </c>
      <c r="W3763" s="45" t="str">
        <f>HYPERLINK("http://ictvonline.org/taxonomy/p/taxonomy-history?taxnode_id=201853844","ICTVonline=201853844")</f>
        <v>ICTVonline=201853844</v>
      </c>
      <c r="AA3763" s="1">
        <v>201850000</v>
      </c>
      <c r="AB3763" s="1">
        <v>34</v>
      </c>
    </row>
    <row r="3764" spans="1:28" x14ac:dyDescent="0.15">
      <c r="A3764" s="1">
        <v>9587</v>
      </c>
      <c r="J3764" s="1" t="s">
        <v>5115</v>
      </c>
      <c r="L3764" s="1" t="s">
        <v>1641</v>
      </c>
      <c r="N3764" s="1" t="s">
        <v>1055</v>
      </c>
      <c r="P3764" s="1" t="s">
        <v>1672</v>
      </c>
      <c r="Q3764" s="3">
        <v>0</v>
      </c>
      <c r="S3764" s="23" t="s">
        <v>5949</v>
      </c>
      <c r="W3764" s="45" t="str">
        <f>HYPERLINK("http://ictvonline.org/taxonomy/p/taxonomy-history?taxnode_id=201853845","ICTVonline=201853845")</f>
        <v>ICTVonline=201853845</v>
      </c>
      <c r="AA3764" s="1">
        <v>201850000</v>
      </c>
      <c r="AB3764" s="1">
        <v>34</v>
      </c>
    </row>
    <row r="3765" spans="1:28" x14ac:dyDescent="0.15">
      <c r="A3765" s="1">
        <v>9593</v>
      </c>
      <c r="J3765" s="1" t="s">
        <v>5115</v>
      </c>
      <c r="L3765" s="1" t="s">
        <v>2133</v>
      </c>
      <c r="N3765" s="1" t="s">
        <v>2134</v>
      </c>
      <c r="P3765" s="1" t="s">
        <v>1522</v>
      </c>
      <c r="Q3765" s="3">
        <v>0</v>
      </c>
      <c r="S3765" s="23" t="s">
        <v>5949</v>
      </c>
      <c r="W3765" s="45" t="str">
        <f>HYPERLINK("http://ictvonline.org/taxonomy/p/taxonomy-history?taxnode_id=201854830","ICTVonline=201854830")</f>
        <v>ICTVonline=201854830</v>
      </c>
      <c r="AA3765" s="1">
        <v>201850000</v>
      </c>
      <c r="AB3765" s="1">
        <v>34</v>
      </c>
    </row>
    <row r="3766" spans="1:28" x14ac:dyDescent="0.15">
      <c r="A3766" s="1">
        <v>9595</v>
      </c>
      <c r="J3766" s="1" t="s">
        <v>5115</v>
      </c>
      <c r="L3766" s="1" t="s">
        <v>2133</v>
      </c>
      <c r="N3766" s="1" t="s">
        <v>2134</v>
      </c>
      <c r="P3766" s="1" t="s">
        <v>1523</v>
      </c>
      <c r="Q3766" s="3">
        <v>0</v>
      </c>
      <c r="S3766" s="23" t="s">
        <v>5949</v>
      </c>
      <c r="W3766" s="45" t="str">
        <f>HYPERLINK("http://ictvonline.org/taxonomy/p/taxonomy-history?taxnode_id=201854831","ICTVonline=201854831")</f>
        <v>ICTVonline=201854831</v>
      </c>
      <c r="AA3766" s="1">
        <v>201850000</v>
      </c>
      <c r="AB3766" s="1">
        <v>34</v>
      </c>
    </row>
    <row r="3767" spans="1:28" x14ac:dyDescent="0.15">
      <c r="A3767" s="1">
        <v>9597</v>
      </c>
      <c r="J3767" s="1" t="s">
        <v>5115</v>
      </c>
      <c r="L3767" s="1" t="s">
        <v>2133</v>
      </c>
      <c r="N3767" s="1" t="s">
        <v>2134</v>
      </c>
      <c r="P3767" s="1" t="s">
        <v>1558</v>
      </c>
      <c r="Q3767" s="3">
        <v>0</v>
      </c>
      <c r="S3767" s="23" t="s">
        <v>5949</v>
      </c>
      <c r="W3767" s="45" t="str">
        <f>HYPERLINK("http://ictvonline.org/taxonomy/p/taxonomy-history?taxnode_id=201854832","ICTVonline=201854832")</f>
        <v>ICTVonline=201854832</v>
      </c>
      <c r="AA3767" s="1">
        <v>201850000</v>
      </c>
      <c r="AB3767" s="1">
        <v>34</v>
      </c>
    </row>
    <row r="3768" spans="1:28" x14ac:dyDescent="0.15">
      <c r="A3768" s="1">
        <v>9599</v>
      </c>
      <c r="J3768" s="1" t="s">
        <v>5115</v>
      </c>
      <c r="L3768" s="1" t="s">
        <v>2133</v>
      </c>
      <c r="N3768" s="1" t="s">
        <v>2134</v>
      </c>
      <c r="P3768" s="1" t="s">
        <v>1559</v>
      </c>
      <c r="Q3768" s="3">
        <v>0</v>
      </c>
      <c r="S3768" s="23" t="s">
        <v>5949</v>
      </c>
      <c r="W3768" s="45" t="str">
        <f>HYPERLINK("http://ictvonline.org/taxonomy/p/taxonomy-history?taxnode_id=201854833","ICTVonline=201854833")</f>
        <v>ICTVonline=201854833</v>
      </c>
      <c r="AA3768" s="1">
        <v>201850000</v>
      </c>
      <c r="AB3768" s="1">
        <v>34</v>
      </c>
    </row>
    <row r="3769" spans="1:28" x14ac:dyDescent="0.15">
      <c r="A3769" s="1">
        <v>9601</v>
      </c>
      <c r="J3769" s="1" t="s">
        <v>5115</v>
      </c>
      <c r="L3769" s="1" t="s">
        <v>2133</v>
      </c>
      <c r="N3769" s="1" t="s">
        <v>2134</v>
      </c>
      <c r="P3769" s="1" t="s">
        <v>1872</v>
      </c>
      <c r="Q3769" s="3">
        <v>1</v>
      </c>
      <c r="S3769" s="23" t="s">
        <v>5949</v>
      </c>
      <c r="W3769" s="45" t="str">
        <f>HYPERLINK("http://ictvonline.org/taxonomy/p/taxonomy-history?taxnode_id=201854834","ICTVonline=201854834")</f>
        <v>ICTVonline=201854834</v>
      </c>
      <c r="AA3769" s="1">
        <v>201850000</v>
      </c>
      <c r="AB3769" s="1">
        <v>34</v>
      </c>
    </row>
    <row r="3770" spans="1:28" x14ac:dyDescent="0.15">
      <c r="A3770" s="1">
        <v>9603</v>
      </c>
      <c r="J3770" s="1" t="s">
        <v>5115</v>
      </c>
      <c r="L3770" s="1" t="s">
        <v>2133</v>
      </c>
      <c r="N3770" s="1" t="s">
        <v>2134</v>
      </c>
      <c r="P3770" s="1" t="s">
        <v>1873</v>
      </c>
      <c r="Q3770" s="3">
        <v>0</v>
      </c>
      <c r="S3770" s="23" t="s">
        <v>5949</v>
      </c>
      <c r="W3770" s="45" t="str">
        <f>HYPERLINK("http://ictvonline.org/taxonomy/p/taxonomy-history?taxnode_id=201854835","ICTVonline=201854835")</f>
        <v>ICTVonline=201854835</v>
      </c>
      <c r="AA3770" s="1">
        <v>201850000</v>
      </c>
      <c r="AB3770" s="1">
        <v>34</v>
      </c>
    </row>
    <row r="3771" spans="1:28" x14ac:dyDescent="0.15">
      <c r="A3771" s="1">
        <v>9605</v>
      </c>
      <c r="J3771" s="1" t="s">
        <v>5115</v>
      </c>
      <c r="L3771" s="1" t="s">
        <v>2133</v>
      </c>
      <c r="N3771" s="1" t="s">
        <v>2134</v>
      </c>
      <c r="P3771" s="1" t="s">
        <v>2076</v>
      </c>
      <c r="Q3771" s="3">
        <v>0</v>
      </c>
      <c r="S3771" s="23" t="s">
        <v>5949</v>
      </c>
      <c r="W3771" s="45" t="str">
        <f>HYPERLINK("http://ictvonline.org/taxonomy/p/taxonomy-history?taxnode_id=201854836","ICTVonline=201854836")</f>
        <v>ICTVonline=201854836</v>
      </c>
      <c r="AA3771" s="1">
        <v>201850000</v>
      </c>
      <c r="AB3771" s="1">
        <v>34</v>
      </c>
    </row>
    <row r="3772" spans="1:28" x14ac:dyDescent="0.15">
      <c r="A3772" s="1">
        <v>9607</v>
      </c>
      <c r="J3772" s="1" t="s">
        <v>5115</v>
      </c>
      <c r="L3772" s="1" t="s">
        <v>2133</v>
      </c>
      <c r="N3772" s="1" t="s">
        <v>2134</v>
      </c>
      <c r="P3772" s="1" t="s">
        <v>1890</v>
      </c>
      <c r="Q3772" s="3">
        <v>0</v>
      </c>
      <c r="S3772" s="23" t="s">
        <v>5949</v>
      </c>
      <c r="W3772" s="45" t="str">
        <f>HYPERLINK("http://ictvonline.org/taxonomy/p/taxonomy-history?taxnode_id=201854837","ICTVonline=201854837")</f>
        <v>ICTVonline=201854837</v>
      </c>
      <c r="AA3772" s="1">
        <v>201850000</v>
      </c>
      <c r="AB3772" s="1">
        <v>34</v>
      </c>
    </row>
    <row r="3773" spans="1:28" x14ac:dyDescent="0.15">
      <c r="A3773" s="1">
        <v>9611</v>
      </c>
      <c r="J3773" s="1" t="s">
        <v>5115</v>
      </c>
      <c r="L3773" s="1" t="s">
        <v>2133</v>
      </c>
      <c r="N3773" s="1" t="s">
        <v>1891</v>
      </c>
      <c r="P3773" s="1" t="s">
        <v>287</v>
      </c>
      <c r="Q3773" s="3">
        <v>0</v>
      </c>
      <c r="S3773" s="23" t="s">
        <v>5949</v>
      </c>
      <c r="W3773" s="45" t="str">
        <f>HYPERLINK("http://ictvonline.org/taxonomy/p/taxonomy-history?taxnode_id=201854839","ICTVonline=201854839")</f>
        <v>ICTVonline=201854839</v>
      </c>
      <c r="AA3773" s="1">
        <v>201850000</v>
      </c>
      <c r="AB3773" s="1">
        <v>34</v>
      </c>
    </row>
    <row r="3774" spans="1:28" x14ac:dyDescent="0.15">
      <c r="A3774" s="1">
        <v>9613</v>
      </c>
      <c r="J3774" s="1" t="s">
        <v>5115</v>
      </c>
      <c r="L3774" s="1" t="s">
        <v>2133</v>
      </c>
      <c r="N3774" s="1" t="s">
        <v>1891</v>
      </c>
      <c r="P3774" s="1" t="s">
        <v>288</v>
      </c>
      <c r="Q3774" s="3">
        <v>0</v>
      </c>
      <c r="S3774" s="23" t="s">
        <v>5949</v>
      </c>
      <c r="W3774" s="45" t="str">
        <f>HYPERLINK("http://ictvonline.org/taxonomy/p/taxonomy-history?taxnode_id=201854840","ICTVonline=201854840")</f>
        <v>ICTVonline=201854840</v>
      </c>
      <c r="AA3774" s="1">
        <v>201850000</v>
      </c>
      <c r="AB3774" s="1">
        <v>34</v>
      </c>
    </row>
    <row r="3775" spans="1:28" x14ac:dyDescent="0.15">
      <c r="A3775" s="1">
        <v>9615</v>
      </c>
      <c r="J3775" s="1" t="s">
        <v>5115</v>
      </c>
      <c r="L3775" s="1" t="s">
        <v>2133</v>
      </c>
      <c r="N3775" s="1" t="s">
        <v>1891</v>
      </c>
      <c r="P3775" s="1" t="s">
        <v>2753</v>
      </c>
      <c r="Q3775" s="3">
        <v>0</v>
      </c>
      <c r="S3775" s="23" t="s">
        <v>5949</v>
      </c>
      <c r="W3775" s="45" t="str">
        <f>HYPERLINK("http://ictvonline.org/taxonomy/p/taxonomy-history?taxnode_id=201854841","ICTVonline=201854841")</f>
        <v>ICTVonline=201854841</v>
      </c>
      <c r="AA3775" s="1">
        <v>201850000</v>
      </c>
      <c r="AB3775" s="1">
        <v>34</v>
      </c>
    </row>
    <row r="3776" spans="1:28" x14ac:dyDescent="0.15">
      <c r="A3776" s="1">
        <v>9617</v>
      </c>
      <c r="J3776" s="1" t="s">
        <v>5115</v>
      </c>
      <c r="L3776" s="1" t="s">
        <v>2133</v>
      </c>
      <c r="N3776" s="1" t="s">
        <v>1891</v>
      </c>
      <c r="P3776" s="1" t="s">
        <v>1285</v>
      </c>
      <c r="Q3776" s="3">
        <v>0</v>
      </c>
      <c r="S3776" s="23" t="s">
        <v>5949</v>
      </c>
      <c r="W3776" s="45" t="str">
        <f>HYPERLINK("http://ictvonline.org/taxonomy/p/taxonomy-history?taxnode_id=201854842","ICTVonline=201854842")</f>
        <v>ICTVonline=201854842</v>
      </c>
      <c r="AA3776" s="1">
        <v>201850000</v>
      </c>
      <c r="AB3776" s="1">
        <v>34</v>
      </c>
    </row>
    <row r="3777" spans="1:28" x14ac:dyDescent="0.15">
      <c r="A3777" s="1">
        <v>9619</v>
      </c>
      <c r="J3777" s="1" t="s">
        <v>5115</v>
      </c>
      <c r="L3777" s="1" t="s">
        <v>2133</v>
      </c>
      <c r="N3777" s="1" t="s">
        <v>1891</v>
      </c>
      <c r="P3777" s="1" t="s">
        <v>1286</v>
      </c>
      <c r="Q3777" s="3">
        <v>0</v>
      </c>
      <c r="S3777" s="23" t="s">
        <v>5949</v>
      </c>
      <c r="W3777" s="45" t="str">
        <f>HYPERLINK("http://ictvonline.org/taxonomy/p/taxonomy-history?taxnode_id=201854843","ICTVonline=201854843")</f>
        <v>ICTVonline=201854843</v>
      </c>
      <c r="AA3777" s="1">
        <v>201850000</v>
      </c>
      <c r="AB3777" s="1">
        <v>34</v>
      </c>
    </row>
    <row r="3778" spans="1:28" x14ac:dyDescent="0.15">
      <c r="A3778" s="1">
        <v>9621</v>
      </c>
      <c r="J3778" s="1" t="s">
        <v>5115</v>
      </c>
      <c r="L3778" s="1" t="s">
        <v>2133</v>
      </c>
      <c r="N3778" s="1" t="s">
        <v>1891</v>
      </c>
      <c r="P3778" s="1" t="s">
        <v>1287</v>
      </c>
      <c r="Q3778" s="3">
        <v>0</v>
      </c>
      <c r="S3778" s="23" t="s">
        <v>5949</v>
      </c>
      <c r="W3778" s="45" t="str">
        <f>HYPERLINK("http://ictvonline.org/taxonomy/p/taxonomy-history?taxnode_id=201854844","ICTVonline=201854844")</f>
        <v>ICTVonline=201854844</v>
      </c>
      <c r="AA3778" s="1">
        <v>201850000</v>
      </c>
      <c r="AB3778" s="1">
        <v>34</v>
      </c>
    </row>
    <row r="3779" spans="1:28" x14ac:dyDescent="0.15">
      <c r="A3779" s="1">
        <v>9623</v>
      </c>
      <c r="J3779" s="1" t="s">
        <v>5115</v>
      </c>
      <c r="L3779" s="1" t="s">
        <v>2133</v>
      </c>
      <c r="N3779" s="1" t="s">
        <v>1891</v>
      </c>
      <c r="P3779" s="1" t="s">
        <v>1288</v>
      </c>
      <c r="Q3779" s="3">
        <v>0</v>
      </c>
      <c r="S3779" s="23" t="s">
        <v>5949</v>
      </c>
      <c r="W3779" s="45" t="str">
        <f>HYPERLINK("http://ictvonline.org/taxonomy/p/taxonomy-history?taxnode_id=201854845","ICTVonline=201854845")</f>
        <v>ICTVonline=201854845</v>
      </c>
      <c r="AA3779" s="1">
        <v>201850000</v>
      </c>
      <c r="AB3779" s="1">
        <v>34</v>
      </c>
    </row>
    <row r="3780" spans="1:28" x14ac:dyDescent="0.15">
      <c r="A3780" s="1">
        <v>9625</v>
      </c>
      <c r="J3780" s="1" t="s">
        <v>5115</v>
      </c>
      <c r="L3780" s="1" t="s">
        <v>2133</v>
      </c>
      <c r="N3780" s="1" t="s">
        <v>1891</v>
      </c>
      <c r="P3780" s="1" t="s">
        <v>1289</v>
      </c>
      <c r="Q3780" s="3">
        <v>0</v>
      </c>
      <c r="S3780" s="23" t="s">
        <v>5949</v>
      </c>
      <c r="W3780" s="45" t="str">
        <f>HYPERLINK("http://ictvonline.org/taxonomy/p/taxonomy-history?taxnode_id=201854846","ICTVonline=201854846")</f>
        <v>ICTVonline=201854846</v>
      </c>
      <c r="AA3780" s="1">
        <v>201850000</v>
      </c>
      <c r="AB3780" s="1">
        <v>34</v>
      </c>
    </row>
    <row r="3781" spans="1:28" x14ac:dyDescent="0.15">
      <c r="A3781" s="1">
        <v>9627</v>
      </c>
      <c r="J3781" s="1" t="s">
        <v>5115</v>
      </c>
      <c r="L3781" s="1" t="s">
        <v>2133</v>
      </c>
      <c r="N3781" s="1" t="s">
        <v>1891</v>
      </c>
      <c r="P3781" s="1" t="s">
        <v>1290</v>
      </c>
      <c r="Q3781" s="3">
        <v>0</v>
      </c>
      <c r="S3781" s="23" t="s">
        <v>5949</v>
      </c>
      <c r="W3781" s="45" t="str">
        <f>HYPERLINK("http://ictvonline.org/taxonomy/p/taxonomy-history?taxnode_id=201854847","ICTVonline=201854847")</f>
        <v>ICTVonline=201854847</v>
      </c>
      <c r="AA3781" s="1">
        <v>201850000</v>
      </c>
      <c r="AB3781" s="1">
        <v>34</v>
      </c>
    </row>
    <row r="3782" spans="1:28" x14ac:dyDescent="0.15">
      <c r="A3782" s="1">
        <v>9629</v>
      </c>
      <c r="J3782" s="1" t="s">
        <v>5115</v>
      </c>
      <c r="L3782" s="1" t="s">
        <v>2133</v>
      </c>
      <c r="N3782" s="1" t="s">
        <v>1891</v>
      </c>
      <c r="P3782" s="1" t="s">
        <v>1291</v>
      </c>
      <c r="Q3782" s="3">
        <v>0</v>
      </c>
      <c r="S3782" s="23" t="s">
        <v>5949</v>
      </c>
      <c r="W3782" s="45" t="str">
        <f>HYPERLINK("http://ictvonline.org/taxonomy/p/taxonomy-history?taxnode_id=201854848","ICTVonline=201854848")</f>
        <v>ICTVonline=201854848</v>
      </c>
      <c r="AA3782" s="1">
        <v>201850000</v>
      </c>
      <c r="AB3782" s="1">
        <v>34</v>
      </c>
    </row>
    <row r="3783" spans="1:28" x14ac:dyDescent="0.15">
      <c r="A3783" s="1">
        <v>9631</v>
      </c>
      <c r="J3783" s="1" t="s">
        <v>5115</v>
      </c>
      <c r="L3783" s="1" t="s">
        <v>2133</v>
      </c>
      <c r="N3783" s="1" t="s">
        <v>1891</v>
      </c>
      <c r="P3783" s="1" t="s">
        <v>1683</v>
      </c>
      <c r="Q3783" s="3">
        <v>0</v>
      </c>
      <c r="S3783" s="23" t="s">
        <v>5949</v>
      </c>
      <c r="W3783" s="45" t="str">
        <f>HYPERLINK("http://ictvonline.org/taxonomy/p/taxonomy-history?taxnode_id=201854849","ICTVonline=201854849")</f>
        <v>ICTVonline=201854849</v>
      </c>
      <c r="AA3783" s="1">
        <v>201850000</v>
      </c>
      <c r="AB3783" s="1">
        <v>34</v>
      </c>
    </row>
    <row r="3784" spans="1:28" x14ac:dyDescent="0.15">
      <c r="A3784" s="1">
        <v>9633</v>
      </c>
      <c r="J3784" s="1" t="s">
        <v>5115</v>
      </c>
      <c r="L3784" s="1" t="s">
        <v>2133</v>
      </c>
      <c r="N3784" s="1" t="s">
        <v>1891</v>
      </c>
      <c r="P3784" s="1" t="s">
        <v>1684</v>
      </c>
      <c r="Q3784" s="3">
        <v>0</v>
      </c>
      <c r="S3784" s="23" t="s">
        <v>5949</v>
      </c>
      <c r="W3784" s="45" t="str">
        <f>HYPERLINK("http://ictvonline.org/taxonomy/p/taxonomy-history?taxnode_id=201854850","ICTVonline=201854850")</f>
        <v>ICTVonline=201854850</v>
      </c>
      <c r="AA3784" s="1">
        <v>201850000</v>
      </c>
      <c r="AB3784" s="1">
        <v>34</v>
      </c>
    </row>
    <row r="3785" spans="1:28" x14ac:dyDescent="0.15">
      <c r="A3785" s="1">
        <v>9635</v>
      </c>
      <c r="J3785" s="1" t="s">
        <v>5115</v>
      </c>
      <c r="L3785" s="1" t="s">
        <v>2133</v>
      </c>
      <c r="N3785" s="1" t="s">
        <v>1891</v>
      </c>
      <c r="P3785" s="1" t="s">
        <v>1685</v>
      </c>
      <c r="Q3785" s="3">
        <v>0</v>
      </c>
      <c r="S3785" s="23" t="s">
        <v>5949</v>
      </c>
      <c r="W3785" s="45" t="str">
        <f>HYPERLINK("http://ictvonline.org/taxonomy/p/taxonomy-history?taxnode_id=201854851","ICTVonline=201854851")</f>
        <v>ICTVonline=201854851</v>
      </c>
      <c r="AA3785" s="1">
        <v>201850000</v>
      </c>
      <c r="AB3785" s="1">
        <v>34</v>
      </c>
    </row>
    <row r="3786" spans="1:28" x14ac:dyDescent="0.15">
      <c r="A3786" s="1">
        <v>9637</v>
      </c>
      <c r="J3786" s="1" t="s">
        <v>5115</v>
      </c>
      <c r="L3786" s="1" t="s">
        <v>2133</v>
      </c>
      <c r="N3786" s="1" t="s">
        <v>1891</v>
      </c>
      <c r="P3786" s="1" t="s">
        <v>1686</v>
      </c>
      <c r="Q3786" s="3">
        <v>1</v>
      </c>
      <c r="S3786" s="23" t="s">
        <v>5949</v>
      </c>
      <c r="W3786" s="45" t="str">
        <f>HYPERLINK("http://ictvonline.org/taxonomy/p/taxonomy-history?taxnode_id=201854852","ICTVonline=201854852")</f>
        <v>ICTVonline=201854852</v>
      </c>
      <c r="AA3786" s="1">
        <v>201850000</v>
      </c>
      <c r="AB3786" s="1">
        <v>34</v>
      </c>
    </row>
    <row r="3787" spans="1:28" x14ac:dyDescent="0.15">
      <c r="A3787" s="1">
        <v>9639</v>
      </c>
      <c r="J3787" s="1" t="s">
        <v>5115</v>
      </c>
      <c r="L3787" s="1" t="s">
        <v>2133</v>
      </c>
      <c r="N3787" s="1" t="s">
        <v>1891</v>
      </c>
      <c r="P3787" s="1" t="s">
        <v>1687</v>
      </c>
      <c r="Q3787" s="3">
        <v>0</v>
      </c>
      <c r="S3787" s="23" t="s">
        <v>5949</v>
      </c>
      <c r="W3787" s="45" t="str">
        <f>HYPERLINK("http://ictvonline.org/taxonomy/p/taxonomy-history?taxnode_id=201854853","ICTVonline=201854853")</f>
        <v>ICTVonline=201854853</v>
      </c>
      <c r="AA3787" s="1">
        <v>201850000</v>
      </c>
      <c r="AB3787" s="1">
        <v>34</v>
      </c>
    </row>
    <row r="3788" spans="1:28" x14ac:dyDescent="0.15">
      <c r="A3788" s="1">
        <v>9641</v>
      </c>
      <c r="J3788" s="1" t="s">
        <v>5115</v>
      </c>
      <c r="L3788" s="1" t="s">
        <v>2133</v>
      </c>
      <c r="N3788" s="1" t="s">
        <v>1891</v>
      </c>
      <c r="P3788" s="1" t="s">
        <v>712</v>
      </c>
      <c r="Q3788" s="3">
        <v>0</v>
      </c>
      <c r="S3788" s="23" t="s">
        <v>5949</v>
      </c>
      <c r="W3788" s="45" t="str">
        <f>HYPERLINK("http://ictvonline.org/taxonomy/p/taxonomy-history?taxnode_id=201854854","ICTVonline=201854854")</f>
        <v>ICTVonline=201854854</v>
      </c>
      <c r="AA3788" s="1">
        <v>201850000</v>
      </c>
      <c r="AB3788" s="1">
        <v>34</v>
      </c>
    </row>
    <row r="3789" spans="1:28" x14ac:dyDescent="0.15">
      <c r="A3789" s="1">
        <v>9643</v>
      </c>
      <c r="J3789" s="1" t="s">
        <v>5115</v>
      </c>
      <c r="L3789" s="1" t="s">
        <v>2133</v>
      </c>
      <c r="N3789" s="1" t="s">
        <v>1891</v>
      </c>
      <c r="P3789" s="1" t="s">
        <v>1758</v>
      </c>
      <c r="Q3789" s="3">
        <v>0</v>
      </c>
      <c r="S3789" s="23" t="s">
        <v>5949</v>
      </c>
      <c r="W3789" s="45" t="str">
        <f>HYPERLINK("http://ictvonline.org/taxonomy/p/taxonomy-history?taxnode_id=201854855","ICTVonline=201854855")</f>
        <v>ICTVonline=201854855</v>
      </c>
      <c r="AA3789" s="1">
        <v>201850000</v>
      </c>
      <c r="AB3789" s="1">
        <v>34</v>
      </c>
    </row>
    <row r="3790" spans="1:28" x14ac:dyDescent="0.15">
      <c r="A3790" s="1">
        <v>9645</v>
      </c>
      <c r="J3790" s="1" t="s">
        <v>5115</v>
      </c>
      <c r="L3790" s="1" t="s">
        <v>2133</v>
      </c>
      <c r="N3790" s="1" t="s">
        <v>1891</v>
      </c>
      <c r="P3790" s="1" t="s">
        <v>5130</v>
      </c>
      <c r="Q3790" s="3">
        <v>0</v>
      </c>
      <c r="S3790" s="23" t="s">
        <v>5949</v>
      </c>
      <c r="W3790" s="45" t="str">
        <f>HYPERLINK("http://ictvonline.org/taxonomy/p/taxonomy-history?taxnode_id=201854856","ICTVonline=201854856")</f>
        <v>ICTVonline=201854856</v>
      </c>
      <c r="AA3790" s="1">
        <v>201850000</v>
      </c>
      <c r="AB3790" s="1">
        <v>34</v>
      </c>
    </row>
    <row r="3791" spans="1:28" x14ac:dyDescent="0.15">
      <c r="A3791" s="1">
        <v>9647</v>
      </c>
      <c r="J3791" s="1" t="s">
        <v>5115</v>
      </c>
      <c r="L3791" s="1" t="s">
        <v>2133</v>
      </c>
      <c r="N3791" s="1" t="s">
        <v>1891</v>
      </c>
      <c r="P3791" s="1" t="s">
        <v>1759</v>
      </c>
      <c r="Q3791" s="3">
        <v>0</v>
      </c>
      <c r="S3791" s="23" t="s">
        <v>5949</v>
      </c>
      <c r="W3791" s="45" t="str">
        <f>HYPERLINK("http://ictvonline.org/taxonomy/p/taxonomy-history?taxnode_id=201854857","ICTVonline=201854857")</f>
        <v>ICTVonline=201854857</v>
      </c>
      <c r="AA3791" s="1">
        <v>201850000</v>
      </c>
      <c r="AB3791" s="1">
        <v>34</v>
      </c>
    </row>
    <row r="3792" spans="1:28" x14ac:dyDescent="0.15">
      <c r="A3792" s="1">
        <v>9649</v>
      </c>
      <c r="J3792" s="1" t="s">
        <v>5115</v>
      </c>
      <c r="L3792" s="1" t="s">
        <v>2133</v>
      </c>
      <c r="N3792" s="1" t="s">
        <v>1891</v>
      </c>
      <c r="P3792" s="1" t="s">
        <v>5131</v>
      </c>
      <c r="Q3792" s="3">
        <v>0</v>
      </c>
      <c r="S3792" s="23" t="s">
        <v>5949</v>
      </c>
      <c r="W3792" s="45" t="str">
        <f>HYPERLINK("http://ictvonline.org/taxonomy/p/taxonomy-history?taxnode_id=201854858","ICTVonline=201854858")</f>
        <v>ICTVonline=201854858</v>
      </c>
      <c r="AA3792" s="1">
        <v>201850000</v>
      </c>
      <c r="AB3792" s="1">
        <v>34</v>
      </c>
    </row>
    <row r="3793" spans="1:28" x14ac:dyDescent="0.15">
      <c r="A3793" s="1">
        <v>9653</v>
      </c>
      <c r="J3793" s="1" t="s">
        <v>5115</v>
      </c>
      <c r="L3793" s="1" t="s">
        <v>2133</v>
      </c>
      <c r="N3793" s="1" t="s">
        <v>715</v>
      </c>
      <c r="P3793" s="1" t="s">
        <v>716</v>
      </c>
      <c r="Q3793" s="3">
        <v>0</v>
      </c>
      <c r="S3793" s="23" t="s">
        <v>5949</v>
      </c>
      <c r="W3793" s="45" t="str">
        <f>HYPERLINK("http://ictvonline.org/taxonomy/p/taxonomy-history?taxnode_id=201854860","ICTVonline=201854860")</f>
        <v>ICTVonline=201854860</v>
      </c>
      <c r="AA3793" s="1">
        <v>201850000</v>
      </c>
      <c r="AB3793" s="1">
        <v>34</v>
      </c>
    </row>
    <row r="3794" spans="1:28" x14ac:dyDescent="0.15">
      <c r="A3794" s="1">
        <v>9655</v>
      </c>
      <c r="J3794" s="1" t="s">
        <v>5115</v>
      </c>
      <c r="L3794" s="1" t="s">
        <v>2133</v>
      </c>
      <c r="N3794" s="1" t="s">
        <v>715</v>
      </c>
      <c r="P3794" s="1" t="s">
        <v>717</v>
      </c>
      <c r="Q3794" s="3">
        <v>1</v>
      </c>
      <c r="S3794" s="23" t="s">
        <v>5949</v>
      </c>
      <c r="W3794" s="45" t="str">
        <f>HYPERLINK("http://ictvonline.org/taxonomy/p/taxonomy-history?taxnode_id=201854861","ICTVonline=201854861")</f>
        <v>ICTVonline=201854861</v>
      </c>
      <c r="AA3794" s="1">
        <v>201850000</v>
      </c>
      <c r="AB3794" s="1">
        <v>34</v>
      </c>
    </row>
    <row r="3795" spans="1:28" x14ac:dyDescent="0.15">
      <c r="A3795" s="1">
        <v>9657</v>
      </c>
      <c r="J3795" s="1" t="s">
        <v>5115</v>
      </c>
      <c r="L3795" s="1" t="s">
        <v>2133</v>
      </c>
      <c r="N3795" s="1" t="s">
        <v>715</v>
      </c>
      <c r="P3795" s="1" t="s">
        <v>718</v>
      </c>
      <c r="Q3795" s="3">
        <v>0</v>
      </c>
      <c r="S3795" s="23" t="s">
        <v>5949</v>
      </c>
      <c r="W3795" s="45" t="str">
        <f>HYPERLINK("http://ictvonline.org/taxonomy/p/taxonomy-history?taxnode_id=201854862","ICTVonline=201854862")</f>
        <v>ICTVonline=201854862</v>
      </c>
      <c r="AA3795" s="1">
        <v>201850000</v>
      </c>
      <c r="AB3795" s="1">
        <v>34</v>
      </c>
    </row>
    <row r="3796" spans="1:28" x14ac:dyDescent="0.15">
      <c r="A3796" s="1">
        <v>9659</v>
      </c>
      <c r="J3796" s="1" t="s">
        <v>5115</v>
      </c>
      <c r="L3796" s="1" t="s">
        <v>2133</v>
      </c>
      <c r="N3796" s="1" t="s">
        <v>715</v>
      </c>
      <c r="P3796" s="1" t="s">
        <v>5132</v>
      </c>
      <c r="Q3796" s="3">
        <v>0</v>
      </c>
      <c r="S3796" s="23" t="s">
        <v>5949</v>
      </c>
      <c r="W3796" s="45" t="str">
        <f>HYPERLINK("http://ictvonline.org/taxonomy/p/taxonomy-history?taxnode_id=201854863","ICTVonline=201854863")</f>
        <v>ICTVonline=201854863</v>
      </c>
      <c r="AA3796" s="1">
        <v>201850000</v>
      </c>
      <c r="AB3796" s="1">
        <v>34</v>
      </c>
    </row>
    <row r="3797" spans="1:28" x14ac:dyDescent="0.15">
      <c r="A3797" s="1">
        <v>9661</v>
      </c>
      <c r="J3797" s="1" t="s">
        <v>5115</v>
      </c>
      <c r="L3797" s="1" t="s">
        <v>2133</v>
      </c>
      <c r="N3797" s="1" t="s">
        <v>715</v>
      </c>
      <c r="P3797" s="1" t="s">
        <v>5133</v>
      </c>
      <c r="Q3797" s="3">
        <v>0</v>
      </c>
      <c r="S3797" s="23" t="s">
        <v>5949</v>
      </c>
      <c r="W3797" s="45" t="str">
        <f>HYPERLINK("http://ictvonline.org/taxonomy/p/taxonomy-history?taxnode_id=201854864","ICTVonline=201854864")</f>
        <v>ICTVonline=201854864</v>
      </c>
      <c r="AA3797" s="1">
        <v>201850000</v>
      </c>
      <c r="AB3797" s="1">
        <v>34</v>
      </c>
    </row>
    <row r="3798" spans="1:28" x14ac:dyDescent="0.15">
      <c r="A3798" s="1">
        <v>9664</v>
      </c>
      <c r="J3798" s="1" t="s">
        <v>5115</v>
      </c>
      <c r="L3798" s="1" t="s">
        <v>2133</v>
      </c>
      <c r="P3798" s="1" t="s">
        <v>1763</v>
      </c>
      <c r="Q3798" s="3">
        <v>0</v>
      </c>
      <c r="S3798" s="23" t="s">
        <v>5949</v>
      </c>
      <c r="W3798" s="45" t="str">
        <f>HYPERLINK("http://ictvonline.org/taxonomy/p/taxonomy-history?taxnode_id=201854866","ICTVonline=201854866")</f>
        <v>ICTVonline=201854866</v>
      </c>
      <c r="AA3798" s="1">
        <v>201850000</v>
      </c>
      <c r="AB3798" s="1">
        <v>34</v>
      </c>
    </row>
    <row r="3799" spans="1:28" x14ac:dyDescent="0.15">
      <c r="A3799" s="1">
        <v>9670</v>
      </c>
      <c r="J3799" s="1" t="s">
        <v>5115</v>
      </c>
      <c r="L3799" s="1" t="s">
        <v>360</v>
      </c>
      <c r="M3799" s="1" t="s">
        <v>361</v>
      </c>
      <c r="N3799" s="1" t="s">
        <v>362</v>
      </c>
      <c r="P3799" s="1" t="s">
        <v>241</v>
      </c>
      <c r="Q3799" s="3">
        <v>0</v>
      </c>
      <c r="S3799" s="23" t="s">
        <v>5949</v>
      </c>
      <c r="W3799" s="45" t="str">
        <f>HYPERLINK("http://ictvonline.org/taxonomy/p/taxonomy-history?taxnode_id=201854982","ICTVonline=201854982")</f>
        <v>ICTVonline=201854982</v>
      </c>
      <c r="AA3799" s="1">
        <v>201850000</v>
      </c>
      <c r="AB3799" s="1">
        <v>34</v>
      </c>
    </row>
    <row r="3800" spans="1:28" x14ac:dyDescent="0.15">
      <c r="A3800" s="1">
        <v>9672</v>
      </c>
      <c r="J3800" s="1" t="s">
        <v>5115</v>
      </c>
      <c r="L3800" s="1" t="s">
        <v>360</v>
      </c>
      <c r="M3800" s="1" t="s">
        <v>361</v>
      </c>
      <c r="N3800" s="1" t="s">
        <v>362</v>
      </c>
      <c r="P3800" s="1" t="s">
        <v>366</v>
      </c>
      <c r="Q3800" s="3">
        <v>1</v>
      </c>
      <c r="S3800" s="23" t="s">
        <v>5949</v>
      </c>
      <c r="W3800" s="45" t="str">
        <f>HYPERLINK("http://ictvonline.org/taxonomy/p/taxonomy-history?taxnode_id=201854983","ICTVonline=201854983")</f>
        <v>ICTVonline=201854983</v>
      </c>
      <c r="AA3800" s="1">
        <v>201850000</v>
      </c>
      <c r="AB3800" s="1">
        <v>34</v>
      </c>
    </row>
    <row r="3801" spans="1:28" x14ac:dyDescent="0.15">
      <c r="A3801" s="1">
        <v>9674</v>
      </c>
      <c r="J3801" s="1" t="s">
        <v>5115</v>
      </c>
      <c r="L3801" s="1" t="s">
        <v>360</v>
      </c>
      <c r="M3801" s="1" t="s">
        <v>361</v>
      </c>
      <c r="N3801" s="1" t="s">
        <v>362</v>
      </c>
      <c r="P3801" s="1" t="s">
        <v>242</v>
      </c>
      <c r="Q3801" s="3">
        <v>0</v>
      </c>
      <c r="S3801" s="23" t="s">
        <v>5949</v>
      </c>
      <c r="W3801" s="45" t="str">
        <f>HYPERLINK("http://ictvonline.org/taxonomy/p/taxonomy-history?taxnode_id=201854984","ICTVonline=201854984")</f>
        <v>ICTVonline=201854984</v>
      </c>
      <c r="AA3801" s="1">
        <v>201850000</v>
      </c>
      <c r="AB3801" s="1">
        <v>34</v>
      </c>
    </row>
    <row r="3802" spans="1:28" x14ac:dyDescent="0.15">
      <c r="A3802" s="1">
        <v>9676</v>
      </c>
      <c r="J3802" s="1" t="s">
        <v>5115</v>
      </c>
      <c r="L3802" s="1" t="s">
        <v>360</v>
      </c>
      <c r="M3802" s="1" t="s">
        <v>361</v>
      </c>
      <c r="N3802" s="1" t="s">
        <v>362</v>
      </c>
      <c r="P3802" s="1" t="s">
        <v>243</v>
      </c>
      <c r="Q3802" s="3">
        <v>0</v>
      </c>
      <c r="S3802" s="23" t="s">
        <v>5949</v>
      </c>
      <c r="W3802" s="45" t="str">
        <f>HYPERLINK("http://ictvonline.org/taxonomy/p/taxonomy-history?taxnode_id=201854985","ICTVonline=201854985")</f>
        <v>ICTVonline=201854985</v>
      </c>
      <c r="AA3802" s="1">
        <v>201850000</v>
      </c>
      <c r="AB3802" s="1">
        <v>34</v>
      </c>
    </row>
    <row r="3803" spans="1:28" x14ac:dyDescent="0.15">
      <c r="A3803" s="1">
        <v>9678</v>
      </c>
      <c r="J3803" s="1" t="s">
        <v>5115</v>
      </c>
      <c r="L3803" s="1" t="s">
        <v>360</v>
      </c>
      <c r="M3803" s="1" t="s">
        <v>361</v>
      </c>
      <c r="N3803" s="1" t="s">
        <v>362</v>
      </c>
      <c r="P3803" s="1" t="s">
        <v>244</v>
      </c>
      <c r="Q3803" s="3">
        <v>0</v>
      </c>
      <c r="S3803" s="23" t="s">
        <v>5949</v>
      </c>
      <c r="W3803" s="45" t="str">
        <f>HYPERLINK("http://ictvonline.org/taxonomy/p/taxonomy-history?taxnode_id=201854986","ICTVonline=201854986")</f>
        <v>ICTVonline=201854986</v>
      </c>
      <c r="AA3803" s="1">
        <v>201850000</v>
      </c>
      <c r="AB3803" s="1">
        <v>34</v>
      </c>
    </row>
    <row r="3804" spans="1:28" x14ac:dyDescent="0.15">
      <c r="A3804" s="1">
        <v>9680</v>
      </c>
      <c r="J3804" s="1" t="s">
        <v>5115</v>
      </c>
      <c r="L3804" s="1" t="s">
        <v>360</v>
      </c>
      <c r="M3804" s="1" t="s">
        <v>361</v>
      </c>
      <c r="N3804" s="1" t="s">
        <v>362</v>
      </c>
      <c r="P3804" s="1" t="s">
        <v>1813</v>
      </c>
      <c r="Q3804" s="3">
        <v>0</v>
      </c>
      <c r="S3804" s="23" t="s">
        <v>5949</v>
      </c>
      <c r="W3804" s="45" t="str">
        <f>HYPERLINK("http://ictvonline.org/taxonomy/p/taxonomy-history?taxnode_id=201854987","ICTVonline=201854987")</f>
        <v>ICTVonline=201854987</v>
      </c>
      <c r="AA3804" s="1">
        <v>201850000</v>
      </c>
      <c r="AB3804" s="1">
        <v>34</v>
      </c>
    </row>
    <row r="3805" spans="1:28" x14ac:dyDescent="0.15">
      <c r="A3805" s="1">
        <v>9682</v>
      </c>
      <c r="J3805" s="1" t="s">
        <v>5115</v>
      </c>
      <c r="L3805" s="1" t="s">
        <v>360</v>
      </c>
      <c r="M3805" s="1" t="s">
        <v>361</v>
      </c>
      <c r="N3805" s="1" t="s">
        <v>362</v>
      </c>
      <c r="P3805" s="1" t="s">
        <v>1814</v>
      </c>
      <c r="Q3805" s="3">
        <v>0</v>
      </c>
      <c r="S3805" s="23" t="s">
        <v>5949</v>
      </c>
      <c r="W3805" s="45" t="str">
        <f>HYPERLINK("http://ictvonline.org/taxonomy/p/taxonomy-history?taxnode_id=201854988","ICTVonline=201854988")</f>
        <v>ICTVonline=201854988</v>
      </c>
      <c r="AA3805" s="1">
        <v>201850000</v>
      </c>
      <c r="AB3805" s="1">
        <v>34</v>
      </c>
    </row>
    <row r="3806" spans="1:28" x14ac:dyDescent="0.15">
      <c r="A3806" s="1">
        <v>9684</v>
      </c>
      <c r="J3806" s="1" t="s">
        <v>5115</v>
      </c>
      <c r="L3806" s="1" t="s">
        <v>360</v>
      </c>
      <c r="M3806" s="1" t="s">
        <v>361</v>
      </c>
      <c r="N3806" s="1" t="s">
        <v>362</v>
      </c>
      <c r="P3806" s="1" t="s">
        <v>693</v>
      </c>
      <c r="Q3806" s="3">
        <v>0</v>
      </c>
      <c r="S3806" s="23" t="s">
        <v>5949</v>
      </c>
      <c r="W3806" s="45" t="str">
        <f>HYPERLINK("http://ictvonline.org/taxonomy/p/taxonomy-history?taxnode_id=201854989","ICTVonline=201854989")</f>
        <v>ICTVonline=201854989</v>
      </c>
      <c r="AA3806" s="1">
        <v>201850000</v>
      </c>
      <c r="AB3806" s="1">
        <v>34</v>
      </c>
    </row>
    <row r="3807" spans="1:28" x14ac:dyDescent="0.15">
      <c r="A3807" s="1">
        <v>9686</v>
      </c>
      <c r="J3807" s="1" t="s">
        <v>5115</v>
      </c>
      <c r="L3807" s="1" t="s">
        <v>360</v>
      </c>
      <c r="M3807" s="1" t="s">
        <v>361</v>
      </c>
      <c r="N3807" s="1" t="s">
        <v>362</v>
      </c>
      <c r="P3807" s="1" t="s">
        <v>694</v>
      </c>
      <c r="Q3807" s="3">
        <v>0</v>
      </c>
      <c r="S3807" s="23" t="s">
        <v>5949</v>
      </c>
      <c r="W3807" s="45" t="str">
        <f>HYPERLINK("http://ictvonline.org/taxonomy/p/taxonomy-history?taxnode_id=201854990","ICTVonline=201854990")</f>
        <v>ICTVonline=201854990</v>
      </c>
      <c r="AA3807" s="1">
        <v>201850000</v>
      </c>
      <c r="AB3807" s="1">
        <v>34</v>
      </c>
    </row>
    <row r="3808" spans="1:28" x14ac:dyDescent="0.15">
      <c r="A3808" s="1">
        <v>9690</v>
      </c>
      <c r="J3808" s="1" t="s">
        <v>5115</v>
      </c>
      <c r="L3808" s="1" t="s">
        <v>360</v>
      </c>
      <c r="M3808" s="1" t="s">
        <v>361</v>
      </c>
      <c r="N3808" s="1" t="s">
        <v>695</v>
      </c>
      <c r="P3808" s="1" t="s">
        <v>796</v>
      </c>
      <c r="Q3808" s="3">
        <v>0</v>
      </c>
      <c r="S3808" s="23" t="s">
        <v>5949</v>
      </c>
      <c r="W3808" s="45" t="str">
        <f>HYPERLINK("http://ictvonline.org/taxonomy/p/taxonomy-history?taxnode_id=201854992","ICTVonline=201854992")</f>
        <v>ICTVonline=201854992</v>
      </c>
      <c r="AA3808" s="1">
        <v>201850000</v>
      </c>
      <c r="AB3808" s="1">
        <v>34</v>
      </c>
    </row>
    <row r="3809" spans="1:28" x14ac:dyDescent="0.15">
      <c r="A3809" s="1">
        <v>9692</v>
      </c>
      <c r="J3809" s="1" t="s">
        <v>5115</v>
      </c>
      <c r="L3809" s="1" t="s">
        <v>360</v>
      </c>
      <c r="M3809" s="1" t="s">
        <v>361</v>
      </c>
      <c r="N3809" s="1" t="s">
        <v>695</v>
      </c>
      <c r="P3809" s="1" t="s">
        <v>797</v>
      </c>
      <c r="Q3809" s="3">
        <v>0</v>
      </c>
      <c r="S3809" s="23" t="s">
        <v>5949</v>
      </c>
      <c r="W3809" s="45" t="str">
        <f>HYPERLINK("http://ictvonline.org/taxonomy/p/taxonomy-history?taxnode_id=201854993","ICTVonline=201854993")</f>
        <v>ICTVonline=201854993</v>
      </c>
      <c r="AA3809" s="1">
        <v>201850000</v>
      </c>
      <c r="AB3809" s="1">
        <v>34</v>
      </c>
    </row>
    <row r="3810" spans="1:28" x14ac:dyDescent="0.15">
      <c r="A3810" s="1">
        <v>9694</v>
      </c>
      <c r="J3810" s="1" t="s">
        <v>5115</v>
      </c>
      <c r="L3810" s="1" t="s">
        <v>360</v>
      </c>
      <c r="M3810" s="1" t="s">
        <v>361</v>
      </c>
      <c r="N3810" s="1" t="s">
        <v>695</v>
      </c>
      <c r="P3810" s="1" t="s">
        <v>798</v>
      </c>
      <c r="Q3810" s="3">
        <v>0</v>
      </c>
      <c r="S3810" s="23" t="s">
        <v>5949</v>
      </c>
      <c r="W3810" s="45" t="str">
        <f>HYPERLINK("http://ictvonline.org/taxonomy/p/taxonomy-history?taxnode_id=201854994","ICTVonline=201854994")</f>
        <v>ICTVonline=201854994</v>
      </c>
      <c r="AA3810" s="1">
        <v>201850000</v>
      </c>
      <c r="AB3810" s="1">
        <v>34</v>
      </c>
    </row>
    <row r="3811" spans="1:28" x14ac:dyDescent="0.15">
      <c r="A3811" s="1">
        <v>9696</v>
      </c>
      <c r="J3811" s="1" t="s">
        <v>5115</v>
      </c>
      <c r="L3811" s="1" t="s">
        <v>360</v>
      </c>
      <c r="M3811" s="1" t="s">
        <v>361</v>
      </c>
      <c r="N3811" s="1" t="s">
        <v>695</v>
      </c>
      <c r="P3811" s="1" t="s">
        <v>793</v>
      </c>
      <c r="Q3811" s="3">
        <v>1</v>
      </c>
      <c r="S3811" s="23" t="s">
        <v>5949</v>
      </c>
      <c r="W3811" s="45" t="str">
        <f>HYPERLINK("http://ictvonline.org/taxonomy/p/taxonomy-history?taxnode_id=201854995","ICTVonline=201854995")</f>
        <v>ICTVonline=201854995</v>
      </c>
      <c r="AA3811" s="1">
        <v>201850000</v>
      </c>
      <c r="AB3811" s="1">
        <v>34</v>
      </c>
    </row>
    <row r="3812" spans="1:28" x14ac:dyDescent="0.15">
      <c r="A3812" s="1">
        <v>9698</v>
      </c>
      <c r="J3812" s="1" t="s">
        <v>5115</v>
      </c>
      <c r="L3812" s="1" t="s">
        <v>360</v>
      </c>
      <c r="M3812" s="1" t="s">
        <v>361</v>
      </c>
      <c r="N3812" s="1" t="s">
        <v>695</v>
      </c>
      <c r="P3812" s="1" t="s">
        <v>794</v>
      </c>
      <c r="Q3812" s="3">
        <v>0</v>
      </c>
      <c r="S3812" s="23" t="s">
        <v>5949</v>
      </c>
      <c r="W3812" s="45" t="str">
        <f>HYPERLINK("http://ictvonline.org/taxonomy/p/taxonomy-history?taxnode_id=201854996","ICTVonline=201854996")</f>
        <v>ICTVonline=201854996</v>
      </c>
      <c r="AA3812" s="1">
        <v>201850000</v>
      </c>
      <c r="AB3812" s="1">
        <v>34</v>
      </c>
    </row>
    <row r="3813" spans="1:28" x14ac:dyDescent="0.15">
      <c r="A3813" s="1">
        <v>9702</v>
      </c>
      <c r="J3813" s="1" t="s">
        <v>5115</v>
      </c>
      <c r="L3813" s="1" t="s">
        <v>360</v>
      </c>
      <c r="M3813" s="1" t="s">
        <v>361</v>
      </c>
      <c r="N3813" s="1" t="s">
        <v>795</v>
      </c>
      <c r="P3813" s="1" t="s">
        <v>1265</v>
      </c>
      <c r="Q3813" s="3">
        <v>1</v>
      </c>
      <c r="S3813" s="23" t="s">
        <v>5949</v>
      </c>
      <c r="W3813" s="45" t="str">
        <f>HYPERLINK("http://ictvonline.org/taxonomy/p/taxonomy-history?taxnode_id=201854998","ICTVonline=201854998")</f>
        <v>ICTVonline=201854998</v>
      </c>
      <c r="AA3813" s="1">
        <v>201850000</v>
      </c>
      <c r="AB3813" s="1">
        <v>34</v>
      </c>
    </row>
    <row r="3814" spans="1:28" x14ac:dyDescent="0.15">
      <c r="A3814" s="1">
        <v>9704</v>
      </c>
      <c r="J3814" s="1" t="s">
        <v>5115</v>
      </c>
      <c r="L3814" s="1" t="s">
        <v>360</v>
      </c>
      <c r="M3814" s="1" t="s">
        <v>361</v>
      </c>
      <c r="N3814" s="1" t="s">
        <v>795</v>
      </c>
      <c r="P3814" s="1" t="s">
        <v>1266</v>
      </c>
      <c r="Q3814" s="3">
        <v>0</v>
      </c>
      <c r="S3814" s="23" t="s">
        <v>5949</v>
      </c>
      <c r="W3814" s="45" t="str">
        <f>HYPERLINK("http://ictvonline.org/taxonomy/p/taxonomy-history?taxnode_id=201854999","ICTVonline=201854999")</f>
        <v>ICTVonline=201854999</v>
      </c>
      <c r="AA3814" s="1">
        <v>201850000</v>
      </c>
      <c r="AB3814" s="1">
        <v>34</v>
      </c>
    </row>
    <row r="3815" spans="1:28" x14ac:dyDescent="0.15">
      <c r="A3815" s="1">
        <v>9706</v>
      </c>
      <c r="J3815" s="1" t="s">
        <v>5115</v>
      </c>
      <c r="L3815" s="1" t="s">
        <v>360</v>
      </c>
      <c r="M3815" s="1" t="s">
        <v>361</v>
      </c>
      <c r="N3815" s="1" t="s">
        <v>795</v>
      </c>
      <c r="P3815" s="1" t="s">
        <v>1267</v>
      </c>
      <c r="Q3815" s="3">
        <v>0</v>
      </c>
      <c r="S3815" s="23" t="s">
        <v>5949</v>
      </c>
      <c r="W3815" s="45" t="str">
        <f>HYPERLINK("http://ictvonline.org/taxonomy/p/taxonomy-history?taxnode_id=201855000","ICTVonline=201855000")</f>
        <v>ICTVonline=201855000</v>
      </c>
      <c r="AA3815" s="1">
        <v>201850000</v>
      </c>
      <c r="AB3815" s="1">
        <v>34</v>
      </c>
    </row>
    <row r="3816" spans="1:28" x14ac:dyDescent="0.15">
      <c r="A3816" s="1">
        <v>9708</v>
      </c>
      <c r="J3816" s="1" t="s">
        <v>5115</v>
      </c>
      <c r="L3816" s="1" t="s">
        <v>360</v>
      </c>
      <c r="M3816" s="1" t="s">
        <v>361</v>
      </c>
      <c r="N3816" s="1" t="s">
        <v>795</v>
      </c>
      <c r="P3816" s="1" t="s">
        <v>799</v>
      </c>
      <c r="Q3816" s="3">
        <v>0</v>
      </c>
      <c r="S3816" s="23" t="s">
        <v>5949</v>
      </c>
      <c r="W3816" s="45" t="str">
        <f>HYPERLINK("http://ictvonline.org/taxonomy/p/taxonomy-history?taxnode_id=201855001","ICTVonline=201855001")</f>
        <v>ICTVonline=201855001</v>
      </c>
      <c r="AA3816" s="1">
        <v>201850000</v>
      </c>
      <c r="AB3816" s="1">
        <v>34</v>
      </c>
    </row>
    <row r="3817" spans="1:28" x14ac:dyDescent="0.15">
      <c r="A3817" s="1">
        <v>9712</v>
      </c>
      <c r="J3817" s="1" t="s">
        <v>5115</v>
      </c>
      <c r="L3817" s="1" t="s">
        <v>360</v>
      </c>
      <c r="M3817" s="1" t="s">
        <v>361</v>
      </c>
      <c r="N3817" s="1" t="s">
        <v>800</v>
      </c>
      <c r="P3817" s="1" t="s">
        <v>801</v>
      </c>
      <c r="Q3817" s="3">
        <v>1</v>
      </c>
      <c r="S3817" s="23" t="s">
        <v>5949</v>
      </c>
      <c r="W3817" s="45" t="str">
        <f>HYPERLINK("http://ictvonline.org/taxonomy/p/taxonomy-history?taxnode_id=201855003","ICTVonline=201855003")</f>
        <v>ICTVonline=201855003</v>
      </c>
      <c r="AA3817" s="1">
        <v>201850000</v>
      </c>
      <c r="AB3817" s="1">
        <v>34</v>
      </c>
    </row>
    <row r="3818" spans="1:28" x14ac:dyDescent="0.15">
      <c r="A3818" s="1">
        <v>9714</v>
      </c>
      <c r="J3818" s="1" t="s">
        <v>5115</v>
      </c>
      <c r="L3818" s="1" t="s">
        <v>360</v>
      </c>
      <c r="M3818" s="1" t="s">
        <v>361</v>
      </c>
      <c r="N3818" s="1" t="s">
        <v>800</v>
      </c>
      <c r="P3818" s="1" t="s">
        <v>802</v>
      </c>
      <c r="Q3818" s="3">
        <v>0</v>
      </c>
      <c r="S3818" s="23" t="s">
        <v>5949</v>
      </c>
      <c r="W3818" s="45" t="str">
        <f>HYPERLINK("http://ictvonline.org/taxonomy/p/taxonomy-history?taxnode_id=201855004","ICTVonline=201855004")</f>
        <v>ICTVonline=201855004</v>
      </c>
      <c r="AA3818" s="1">
        <v>201850000</v>
      </c>
      <c r="AB3818" s="1">
        <v>34</v>
      </c>
    </row>
    <row r="3819" spans="1:28" x14ac:dyDescent="0.15">
      <c r="A3819" s="1">
        <v>9716</v>
      </c>
      <c r="J3819" s="1" t="s">
        <v>5115</v>
      </c>
      <c r="L3819" s="1" t="s">
        <v>360</v>
      </c>
      <c r="M3819" s="1" t="s">
        <v>361</v>
      </c>
      <c r="N3819" s="1" t="s">
        <v>800</v>
      </c>
      <c r="P3819" s="1" t="s">
        <v>803</v>
      </c>
      <c r="Q3819" s="3">
        <v>0</v>
      </c>
      <c r="S3819" s="23" t="s">
        <v>5949</v>
      </c>
      <c r="W3819" s="45" t="str">
        <f>HYPERLINK("http://ictvonline.org/taxonomy/p/taxonomy-history?taxnode_id=201855005","ICTVonline=201855005")</f>
        <v>ICTVonline=201855005</v>
      </c>
      <c r="AA3819" s="1">
        <v>201850000</v>
      </c>
      <c r="AB3819" s="1">
        <v>34</v>
      </c>
    </row>
    <row r="3820" spans="1:28" x14ac:dyDescent="0.15">
      <c r="A3820" s="1">
        <v>9720</v>
      </c>
      <c r="J3820" s="1" t="s">
        <v>5115</v>
      </c>
      <c r="L3820" s="1" t="s">
        <v>360</v>
      </c>
      <c r="M3820" s="1" t="s">
        <v>361</v>
      </c>
      <c r="N3820" s="1" t="s">
        <v>804</v>
      </c>
      <c r="P3820" s="1" t="s">
        <v>805</v>
      </c>
      <c r="Q3820" s="3">
        <v>0</v>
      </c>
      <c r="S3820" s="23" t="s">
        <v>5949</v>
      </c>
      <c r="W3820" s="45" t="str">
        <f>HYPERLINK("http://ictvonline.org/taxonomy/p/taxonomy-history?taxnode_id=201855007","ICTVonline=201855007")</f>
        <v>ICTVonline=201855007</v>
      </c>
      <c r="AA3820" s="1">
        <v>201850000</v>
      </c>
      <c r="AB3820" s="1">
        <v>34</v>
      </c>
    </row>
    <row r="3821" spans="1:28" x14ac:dyDescent="0.15">
      <c r="A3821" s="1">
        <v>9722</v>
      </c>
      <c r="J3821" s="1" t="s">
        <v>5115</v>
      </c>
      <c r="L3821" s="1" t="s">
        <v>360</v>
      </c>
      <c r="M3821" s="1" t="s">
        <v>361</v>
      </c>
      <c r="N3821" s="1" t="s">
        <v>804</v>
      </c>
      <c r="P3821" s="1" t="s">
        <v>806</v>
      </c>
      <c r="Q3821" s="3">
        <v>0</v>
      </c>
      <c r="S3821" s="23" t="s">
        <v>5949</v>
      </c>
      <c r="W3821" s="45" t="str">
        <f>HYPERLINK("http://ictvonline.org/taxonomy/p/taxonomy-history?taxnode_id=201855008","ICTVonline=201855008")</f>
        <v>ICTVonline=201855008</v>
      </c>
      <c r="AA3821" s="1">
        <v>201850000</v>
      </c>
      <c r="AB3821" s="1">
        <v>34</v>
      </c>
    </row>
    <row r="3822" spans="1:28" x14ac:dyDescent="0.15">
      <c r="A3822" s="1">
        <v>9724</v>
      </c>
      <c r="J3822" s="1" t="s">
        <v>5115</v>
      </c>
      <c r="L3822" s="1" t="s">
        <v>360</v>
      </c>
      <c r="M3822" s="1" t="s">
        <v>361</v>
      </c>
      <c r="N3822" s="1" t="s">
        <v>804</v>
      </c>
      <c r="P3822" s="1" t="s">
        <v>807</v>
      </c>
      <c r="Q3822" s="3">
        <v>0</v>
      </c>
      <c r="S3822" s="23" t="s">
        <v>5949</v>
      </c>
      <c r="W3822" s="45" t="str">
        <f>HYPERLINK("http://ictvonline.org/taxonomy/p/taxonomy-history?taxnode_id=201855009","ICTVonline=201855009")</f>
        <v>ICTVonline=201855009</v>
      </c>
      <c r="AA3822" s="1">
        <v>201850000</v>
      </c>
      <c r="AB3822" s="1">
        <v>34</v>
      </c>
    </row>
    <row r="3823" spans="1:28" x14ac:dyDescent="0.15">
      <c r="A3823" s="1">
        <v>9726</v>
      </c>
      <c r="J3823" s="1" t="s">
        <v>5115</v>
      </c>
      <c r="L3823" s="1" t="s">
        <v>360</v>
      </c>
      <c r="M3823" s="1" t="s">
        <v>361</v>
      </c>
      <c r="N3823" s="1" t="s">
        <v>804</v>
      </c>
      <c r="P3823" s="1" t="s">
        <v>1279</v>
      </c>
      <c r="Q3823" s="3">
        <v>0</v>
      </c>
      <c r="S3823" s="23" t="s">
        <v>5949</v>
      </c>
      <c r="W3823" s="45" t="str">
        <f>HYPERLINK("http://ictvonline.org/taxonomy/p/taxonomy-history?taxnode_id=201855010","ICTVonline=201855010")</f>
        <v>ICTVonline=201855010</v>
      </c>
      <c r="AA3823" s="1">
        <v>201850000</v>
      </c>
      <c r="AB3823" s="1">
        <v>34</v>
      </c>
    </row>
    <row r="3824" spans="1:28" x14ac:dyDescent="0.15">
      <c r="A3824" s="1">
        <v>9728</v>
      </c>
      <c r="J3824" s="1" t="s">
        <v>5115</v>
      </c>
      <c r="L3824" s="1" t="s">
        <v>360</v>
      </c>
      <c r="M3824" s="1" t="s">
        <v>361</v>
      </c>
      <c r="N3824" s="1" t="s">
        <v>804</v>
      </c>
      <c r="P3824" s="1" t="s">
        <v>1280</v>
      </c>
      <c r="Q3824" s="3">
        <v>0</v>
      </c>
      <c r="S3824" s="23" t="s">
        <v>5949</v>
      </c>
      <c r="W3824" s="45" t="str">
        <f>HYPERLINK("http://ictvonline.org/taxonomy/p/taxonomy-history?taxnode_id=201855011","ICTVonline=201855011")</f>
        <v>ICTVonline=201855011</v>
      </c>
      <c r="AA3824" s="1">
        <v>201850000</v>
      </c>
      <c r="AB3824" s="1">
        <v>34</v>
      </c>
    </row>
    <row r="3825" spans="1:28" x14ac:dyDescent="0.15">
      <c r="A3825" s="1">
        <v>9730</v>
      </c>
      <c r="J3825" s="1" t="s">
        <v>5115</v>
      </c>
      <c r="L3825" s="1" t="s">
        <v>360</v>
      </c>
      <c r="M3825" s="1" t="s">
        <v>361</v>
      </c>
      <c r="N3825" s="1" t="s">
        <v>804</v>
      </c>
      <c r="P3825" s="1" t="s">
        <v>1281</v>
      </c>
      <c r="Q3825" s="3">
        <v>0</v>
      </c>
      <c r="S3825" s="23" t="s">
        <v>5949</v>
      </c>
      <c r="W3825" s="45" t="str">
        <f>HYPERLINK("http://ictvonline.org/taxonomy/p/taxonomy-history?taxnode_id=201855012","ICTVonline=201855012")</f>
        <v>ICTVonline=201855012</v>
      </c>
      <c r="AA3825" s="1">
        <v>201850000</v>
      </c>
      <c r="AB3825" s="1">
        <v>34</v>
      </c>
    </row>
    <row r="3826" spans="1:28" x14ac:dyDescent="0.15">
      <c r="A3826" s="1">
        <v>9732</v>
      </c>
      <c r="J3826" s="1" t="s">
        <v>5115</v>
      </c>
      <c r="L3826" s="1" t="s">
        <v>360</v>
      </c>
      <c r="M3826" s="1" t="s">
        <v>361</v>
      </c>
      <c r="N3826" s="1" t="s">
        <v>804</v>
      </c>
      <c r="P3826" s="1" t="s">
        <v>1282</v>
      </c>
      <c r="Q3826" s="3">
        <v>0</v>
      </c>
      <c r="S3826" s="23" t="s">
        <v>5949</v>
      </c>
      <c r="W3826" s="45" t="str">
        <f>HYPERLINK("http://ictvonline.org/taxonomy/p/taxonomy-history?taxnode_id=201855013","ICTVonline=201855013")</f>
        <v>ICTVonline=201855013</v>
      </c>
      <c r="AA3826" s="1">
        <v>201850000</v>
      </c>
      <c r="AB3826" s="1">
        <v>34</v>
      </c>
    </row>
    <row r="3827" spans="1:28" x14ac:dyDescent="0.15">
      <c r="A3827" s="1">
        <v>9734</v>
      </c>
      <c r="J3827" s="1" t="s">
        <v>5115</v>
      </c>
      <c r="L3827" s="1" t="s">
        <v>360</v>
      </c>
      <c r="M3827" s="1" t="s">
        <v>361</v>
      </c>
      <c r="N3827" s="1" t="s">
        <v>804</v>
      </c>
      <c r="P3827" s="1" t="s">
        <v>1283</v>
      </c>
      <c r="Q3827" s="3">
        <v>0</v>
      </c>
      <c r="S3827" s="23" t="s">
        <v>5949</v>
      </c>
      <c r="W3827" s="45" t="str">
        <f>HYPERLINK("http://ictvonline.org/taxonomy/p/taxonomy-history?taxnode_id=201855014","ICTVonline=201855014")</f>
        <v>ICTVonline=201855014</v>
      </c>
      <c r="AA3827" s="1">
        <v>201850000</v>
      </c>
      <c r="AB3827" s="1">
        <v>34</v>
      </c>
    </row>
    <row r="3828" spans="1:28" x14ac:dyDescent="0.15">
      <c r="A3828" s="1">
        <v>9736</v>
      </c>
      <c r="J3828" s="1" t="s">
        <v>5115</v>
      </c>
      <c r="L3828" s="1" t="s">
        <v>360</v>
      </c>
      <c r="M3828" s="1" t="s">
        <v>361</v>
      </c>
      <c r="N3828" s="1" t="s">
        <v>804</v>
      </c>
      <c r="P3828" s="1" t="s">
        <v>740</v>
      </c>
      <c r="Q3828" s="3">
        <v>0</v>
      </c>
      <c r="S3828" s="23" t="s">
        <v>5949</v>
      </c>
      <c r="W3828" s="45" t="str">
        <f>HYPERLINK("http://ictvonline.org/taxonomy/p/taxonomy-history?taxnode_id=201855015","ICTVonline=201855015")</f>
        <v>ICTVonline=201855015</v>
      </c>
      <c r="AA3828" s="1">
        <v>201850000</v>
      </c>
      <c r="AB3828" s="1">
        <v>34</v>
      </c>
    </row>
    <row r="3829" spans="1:28" x14ac:dyDescent="0.15">
      <c r="A3829" s="1">
        <v>9738</v>
      </c>
      <c r="J3829" s="1" t="s">
        <v>5115</v>
      </c>
      <c r="L3829" s="1" t="s">
        <v>360</v>
      </c>
      <c r="M3829" s="1" t="s">
        <v>361</v>
      </c>
      <c r="N3829" s="1" t="s">
        <v>804</v>
      </c>
      <c r="P3829" s="1" t="s">
        <v>4835</v>
      </c>
      <c r="Q3829" s="3">
        <v>0</v>
      </c>
      <c r="S3829" s="23" t="s">
        <v>5949</v>
      </c>
      <c r="W3829" s="45" t="str">
        <f>HYPERLINK("http://ictvonline.org/taxonomy/p/taxonomy-history?taxnode_id=201855016","ICTVonline=201855016")</f>
        <v>ICTVonline=201855016</v>
      </c>
      <c r="AA3829" s="1">
        <v>201850000</v>
      </c>
      <c r="AB3829" s="1">
        <v>34</v>
      </c>
    </row>
    <row r="3830" spans="1:28" x14ac:dyDescent="0.15">
      <c r="A3830" s="1">
        <v>9740</v>
      </c>
      <c r="J3830" s="1" t="s">
        <v>5115</v>
      </c>
      <c r="L3830" s="1" t="s">
        <v>360</v>
      </c>
      <c r="M3830" s="1" t="s">
        <v>361</v>
      </c>
      <c r="N3830" s="1" t="s">
        <v>804</v>
      </c>
      <c r="P3830" s="1" t="s">
        <v>1196</v>
      </c>
      <c r="Q3830" s="3">
        <v>0</v>
      </c>
      <c r="S3830" s="23" t="s">
        <v>5949</v>
      </c>
      <c r="W3830" s="45" t="str">
        <f>HYPERLINK("http://ictvonline.org/taxonomy/p/taxonomy-history?taxnode_id=201855017","ICTVonline=201855017")</f>
        <v>ICTVonline=201855017</v>
      </c>
      <c r="AA3830" s="1">
        <v>201850000</v>
      </c>
      <c r="AB3830" s="1">
        <v>34</v>
      </c>
    </row>
    <row r="3831" spans="1:28" x14ac:dyDescent="0.15">
      <c r="A3831" s="1">
        <v>9742</v>
      </c>
      <c r="J3831" s="1" t="s">
        <v>5115</v>
      </c>
      <c r="L3831" s="1" t="s">
        <v>360</v>
      </c>
      <c r="M3831" s="1" t="s">
        <v>361</v>
      </c>
      <c r="N3831" s="1" t="s">
        <v>804</v>
      </c>
      <c r="P3831" s="1" t="s">
        <v>1197</v>
      </c>
      <c r="Q3831" s="3">
        <v>1</v>
      </c>
      <c r="S3831" s="23" t="s">
        <v>5949</v>
      </c>
      <c r="W3831" s="45" t="str">
        <f>HYPERLINK("http://ictvonline.org/taxonomy/p/taxonomy-history?taxnode_id=201855018","ICTVonline=201855018")</f>
        <v>ICTVonline=201855018</v>
      </c>
      <c r="AA3831" s="1">
        <v>201850000</v>
      </c>
      <c r="AB3831" s="1">
        <v>34</v>
      </c>
    </row>
    <row r="3832" spans="1:28" x14ac:dyDescent="0.15">
      <c r="A3832" s="1">
        <v>9744</v>
      </c>
      <c r="J3832" s="1" t="s">
        <v>5115</v>
      </c>
      <c r="L3832" s="1" t="s">
        <v>360</v>
      </c>
      <c r="M3832" s="1" t="s">
        <v>361</v>
      </c>
      <c r="N3832" s="1" t="s">
        <v>804</v>
      </c>
      <c r="P3832" s="1" t="s">
        <v>1198</v>
      </c>
      <c r="Q3832" s="3">
        <v>0</v>
      </c>
      <c r="S3832" s="23" t="s">
        <v>5949</v>
      </c>
      <c r="W3832" s="45" t="str">
        <f>HYPERLINK("http://ictvonline.org/taxonomy/p/taxonomy-history?taxnode_id=201855019","ICTVonline=201855019")</f>
        <v>ICTVonline=201855019</v>
      </c>
      <c r="AA3832" s="1">
        <v>201850000</v>
      </c>
      <c r="AB3832" s="1">
        <v>34</v>
      </c>
    </row>
    <row r="3833" spans="1:28" x14ac:dyDescent="0.15">
      <c r="A3833" s="1">
        <v>9746</v>
      </c>
      <c r="J3833" s="1" t="s">
        <v>5115</v>
      </c>
      <c r="L3833" s="1" t="s">
        <v>360</v>
      </c>
      <c r="M3833" s="1" t="s">
        <v>361</v>
      </c>
      <c r="N3833" s="1" t="s">
        <v>804</v>
      </c>
      <c r="P3833" s="1" t="s">
        <v>1199</v>
      </c>
      <c r="Q3833" s="3">
        <v>0</v>
      </c>
      <c r="S3833" s="23" t="s">
        <v>5949</v>
      </c>
      <c r="W3833" s="45" t="str">
        <f>HYPERLINK("http://ictvonline.org/taxonomy/p/taxonomy-history?taxnode_id=201855020","ICTVonline=201855020")</f>
        <v>ICTVonline=201855020</v>
      </c>
      <c r="AA3833" s="1">
        <v>201850000</v>
      </c>
      <c r="AB3833" s="1">
        <v>34</v>
      </c>
    </row>
    <row r="3834" spans="1:28" x14ac:dyDescent="0.15">
      <c r="A3834" s="1">
        <v>9748</v>
      </c>
      <c r="J3834" s="1" t="s">
        <v>5115</v>
      </c>
      <c r="L3834" s="1" t="s">
        <v>360</v>
      </c>
      <c r="M3834" s="1" t="s">
        <v>361</v>
      </c>
      <c r="N3834" s="1" t="s">
        <v>804</v>
      </c>
      <c r="P3834" s="1" t="s">
        <v>1427</v>
      </c>
      <c r="Q3834" s="3">
        <v>0</v>
      </c>
      <c r="S3834" s="23" t="s">
        <v>5949</v>
      </c>
      <c r="W3834" s="45" t="str">
        <f>HYPERLINK("http://ictvonline.org/taxonomy/p/taxonomy-history?taxnode_id=201855021","ICTVonline=201855021")</f>
        <v>ICTVonline=201855021</v>
      </c>
      <c r="AA3834" s="1">
        <v>201850000</v>
      </c>
      <c r="AB3834" s="1">
        <v>34</v>
      </c>
    </row>
    <row r="3835" spans="1:28" x14ac:dyDescent="0.15">
      <c r="A3835" s="1">
        <v>9750</v>
      </c>
      <c r="J3835" s="1" t="s">
        <v>5115</v>
      </c>
      <c r="L3835" s="1" t="s">
        <v>360</v>
      </c>
      <c r="M3835" s="1" t="s">
        <v>361</v>
      </c>
      <c r="N3835" s="1" t="s">
        <v>804</v>
      </c>
      <c r="P3835" s="1" t="s">
        <v>1428</v>
      </c>
      <c r="Q3835" s="3">
        <v>0</v>
      </c>
      <c r="S3835" s="23" t="s">
        <v>5949</v>
      </c>
      <c r="W3835" s="45" t="str">
        <f>HYPERLINK("http://ictvonline.org/taxonomy/p/taxonomy-history?taxnode_id=201855022","ICTVonline=201855022")</f>
        <v>ICTVonline=201855022</v>
      </c>
      <c r="AA3835" s="1">
        <v>201850000</v>
      </c>
      <c r="AB3835" s="1">
        <v>34</v>
      </c>
    </row>
    <row r="3836" spans="1:28" x14ac:dyDescent="0.15">
      <c r="A3836" s="1">
        <v>9752</v>
      </c>
      <c r="J3836" s="1" t="s">
        <v>5115</v>
      </c>
      <c r="L3836" s="1" t="s">
        <v>360</v>
      </c>
      <c r="M3836" s="1" t="s">
        <v>361</v>
      </c>
      <c r="N3836" s="1" t="s">
        <v>804</v>
      </c>
      <c r="P3836" s="1" t="s">
        <v>1429</v>
      </c>
      <c r="Q3836" s="3">
        <v>0</v>
      </c>
      <c r="S3836" s="23" t="s">
        <v>5949</v>
      </c>
      <c r="W3836" s="45" t="str">
        <f>HYPERLINK("http://ictvonline.org/taxonomy/p/taxonomy-history?taxnode_id=201855023","ICTVonline=201855023")</f>
        <v>ICTVonline=201855023</v>
      </c>
      <c r="AA3836" s="1">
        <v>201850000</v>
      </c>
      <c r="AB3836" s="1">
        <v>34</v>
      </c>
    </row>
    <row r="3837" spans="1:28" x14ac:dyDescent="0.15">
      <c r="A3837" s="1">
        <v>9754</v>
      </c>
      <c r="J3837" s="1" t="s">
        <v>5115</v>
      </c>
      <c r="L3837" s="1" t="s">
        <v>360</v>
      </c>
      <c r="M3837" s="1" t="s">
        <v>361</v>
      </c>
      <c r="N3837" s="1" t="s">
        <v>804</v>
      </c>
      <c r="P3837" s="1" t="s">
        <v>1430</v>
      </c>
      <c r="Q3837" s="3">
        <v>0</v>
      </c>
      <c r="S3837" s="23" t="s">
        <v>5949</v>
      </c>
      <c r="W3837" s="45" t="str">
        <f>HYPERLINK("http://ictvonline.org/taxonomy/p/taxonomy-history?taxnode_id=201855024","ICTVonline=201855024")</f>
        <v>ICTVonline=201855024</v>
      </c>
      <c r="AA3837" s="1">
        <v>201850000</v>
      </c>
      <c r="AB3837" s="1">
        <v>34</v>
      </c>
    </row>
    <row r="3838" spans="1:28" x14ac:dyDescent="0.15">
      <c r="A3838" s="1">
        <v>9758</v>
      </c>
      <c r="J3838" s="1" t="s">
        <v>5115</v>
      </c>
      <c r="L3838" s="1" t="s">
        <v>360</v>
      </c>
      <c r="M3838" s="1" t="s">
        <v>361</v>
      </c>
      <c r="N3838" s="1" t="s">
        <v>1431</v>
      </c>
      <c r="P3838" s="1" t="s">
        <v>1369</v>
      </c>
      <c r="Q3838" s="3">
        <v>0</v>
      </c>
      <c r="S3838" s="23" t="s">
        <v>5949</v>
      </c>
      <c r="W3838" s="45" t="str">
        <f>HYPERLINK("http://ictvonline.org/taxonomy/p/taxonomy-history?taxnode_id=201855026","ICTVonline=201855026")</f>
        <v>ICTVonline=201855026</v>
      </c>
      <c r="AA3838" s="1">
        <v>201850000</v>
      </c>
      <c r="AB3838" s="1">
        <v>34</v>
      </c>
    </row>
    <row r="3839" spans="1:28" x14ac:dyDescent="0.15">
      <c r="A3839" s="1">
        <v>9760</v>
      </c>
      <c r="J3839" s="1" t="s">
        <v>5115</v>
      </c>
      <c r="L3839" s="1" t="s">
        <v>360</v>
      </c>
      <c r="M3839" s="1" t="s">
        <v>361</v>
      </c>
      <c r="N3839" s="1" t="s">
        <v>1431</v>
      </c>
      <c r="P3839" s="1" t="s">
        <v>1206</v>
      </c>
      <c r="Q3839" s="3">
        <v>0</v>
      </c>
      <c r="S3839" s="23" t="s">
        <v>5949</v>
      </c>
      <c r="W3839" s="45" t="str">
        <f>HYPERLINK("http://ictvonline.org/taxonomy/p/taxonomy-history?taxnode_id=201855027","ICTVonline=201855027")</f>
        <v>ICTVonline=201855027</v>
      </c>
      <c r="AA3839" s="1">
        <v>201850000</v>
      </c>
      <c r="AB3839" s="1">
        <v>34</v>
      </c>
    </row>
    <row r="3840" spans="1:28" x14ac:dyDescent="0.15">
      <c r="A3840" s="1">
        <v>9762</v>
      </c>
      <c r="J3840" s="1" t="s">
        <v>5115</v>
      </c>
      <c r="L3840" s="1" t="s">
        <v>360</v>
      </c>
      <c r="M3840" s="1" t="s">
        <v>361</v>
      </c>
      <c r="N3840" s="1" t="s">
        <v>1431</v>
      </c>
      <c r="P3840" s="1" t="s">
        <v>1207</v>
      </c>
      <c r="Q3840" s="3">
        <v>0</v>
      </c>
      <c r="S3840" s="23" t="s">
        <v>5949</v>
      </c>
      <c r="W3840" s="45" t="str">
        <f>HYPERLINK("http://ictvonline.org/taxonomy/p/taxonomy-history?taxnode_id=201855028","ICTVonline=201855028")</f>
        <v>ICTVonline=201855028</v>
      </c>
      <c r="AA3840" s="1">
        <v>201850000</v>
      </c>
      <c r="AB3840" s="1">
        <v>34</v>
      </c>
    </row>
    <row r="3841" spans="1:28" x14ac:dyDescent="0.15">
      <c r="A3841" s="1">
        <v>9764</v>
      </c>
      <c r="J3841" s="1" t="s">
        <v>5115</v>
      </c>
      <c r="L3841" s="1" t="s">
        <v>360</v>
      </c>
      <c r="M3841" s="1" t="s">
        <v>361</v>
      </c>
      <c r="N3841" s="1" t="s">
        <v>1431</v>
      </c>
      <c r="P3841" s="1" t="s">
        <v>1208</v>
      </c>
      <c r="Q3841" s="3">
        <v>0</v>
      </c>
      <c r="S3841" s="23" t="s">
        <v>5949</v>
      </c>
      <c r="W3841" s="45" t="str">
        <f>HYPERLINK("http://ictvonline.org/taxonomy/p/taxonomy-history?taxnode_id=201855029","ICTVonline=201855029")</f>
        <v>ICTVonline=201855029</v>
      </c>
      <c r="AA3841" s="1">
        <v>201850000</v>
      </c>
      <c r="AB3841" s="1">
        <v>34</v>
      </c>
    </row>
    <row r="3842" spans="1:28" x14ac:dyDescent="0.15">
      <c r="A3842" s="1">
        <v>9766</v>
      </c>
      <c r="J3842" s="1" t="s">
        <v>5115</v>
      </c>
      <c r="L3842" s="1" t="s">
        <v>360</v>
      </c>
      <c r="M3842" s="1" t="s">
        <v>361</v>
      </c>
      <c r="N3842" s="1" t="s">
        <v>1431</v>
      </c>
      <c r="P3842" s="1" t="s">
        <v>1209</v>
      </c>
      <c r="Q3842" s="3">
        <v>1</v>
      </c>
      <c r="S3842" s="23" t="s">
        <v>5949</v>
      </c>
      <c r="W3842" s="45" t="str">
        <f>HYPERLINK("http://ictvonline.org/taxonomy/p/taxonomy-history?taxnode_id=201855030","ICTVonline=201855030")</f>
        <v>ICTVonline=201855030</v>
      </c>
      <c r="AA3842" s="1">
        <v>201850000</v>
      </c>
      <c r="AB3842" s="1">
        <v>34</v>
      </c>
    </row>
    <row r="3843" spans="1:28" x14ac:dyDescent="0.15">
      <c r="A3843" s="1">
        <v>9768</v>
      </c>
      <c r="J3843" s="1" t="s">
        <v>5115</v>
      </c>
      <c r="L3843" s="1" t="s">
        <v>360</v>
      </c>
      <c r="M3843" s="1" t="s">
        <v>361</v>
      </c>
      <c r="N3843" s="1" t="s">
        <v>1431</v>
      </c>
      <c r="P3843" s="1" t="s">
        <v>1210</v>
      </c>
      <c r="Q3843" s="3">
        <v>0</v>
      </c>
      <c r="S3843" s="23" t="s">
        <v>5949</v>
      </c>
      <c r="W3843" s="45" t="str">
        <f>HYPERLINK("http://ictvonline.org/taxonomy/p/taxonomy-history?taxnode_id=201855031","ICTVonline=201855031")</f>
        <v>ICTVonline=201855031</v>
      </c>
      <c r="AA3843" s="1">
        <v>201850000</v>
      </c>
      <c r="AB3843" s="1">
        <v>34</v>
      </c>
    </row>
    <row r="3844" spans="1:28" x14ac:dyDescent="0.15">
      <c r="A3844" s="1">
        <v>9770</v>
      </c>
      <c r="J3844" s="1" t="s">
        <v>5115</v>
      </c>
      <c r="L3844" s="1" t="s">
        <v>360</v>
      </c>
      <c r="M3844" s="1" t="s">
        <v>361</v>
      </c>
      <c r="N3844" s="1" t="s">
        <v>1431</v>
      </c>
      <c r="P3844" s="1" t="s">
        <v>4836</v>
      </c>
      <c r="Q3844" s="3">
        <v>0</v>
      </c>
      <c r="S3844" s="23" t="s">
        <v>5949</v>
      </c>
      <c r="W3844" s="45" t="str">
        <f>HYPERLINK("http://ictvonline.org/taxonomy/p/taxonomy-history?taxnode_id=201855032","ICTVonline=201855032")</f>
        <v>ICTVonline=201855032</v>
      </c>
      <c r="AA3844" s="1">
        <v>201850000</v>
      </c>
      <c r="AB3844" s="1">
        <v>34</v>
      </c>
    </row>
    <row r="3845" spans="1:28" x14ac:dyDescent="0.15">
      <c r="A3845" s="1">
        <v>9772</v>
      </c>
      <c r="J3845" s="1" t="s">
        <v>5115</v>
      </c>
      <c r="L3845" s="1" t="s">
        <v>360</v>
      </c>
      <c r="M3845" s="1" t="s">
        <v>361</v>
      </c>
      <c r="N3845" s="1" t="s">
        <v>1431</v>
      </c>
      <c r="P3845" s="1" t="s">
        <v>1211</v>
      </c>
      <c r="Q3845" s="3">
        <v>0</v>
      </c>
      <c r="S3845" s="23" t="s">
        <v>5949</v>
      </c>
      <c r="W3845" s="45" t="str">
        <f>HYPERLINK("http://ictvonline.org/taxonomy/p/taxonomy-history?taxnode_id=201855033","ICTVonline=201855033")</f>
        <v>ICTVonline=201855033</v>
      </c>
      <c r="AA3845" s="1">
        <v>201850000</v>
      </c>
      <c r="AB3845" s="1">
        <v>34</v>
      </c>
    </row>
    <row r="3846" spans="1:28" x14ac:dyDescent="0.15">
      <c r="A3846" s="1">
        <v>9774</v>
      </c>
      <c r="J3846" s="1" t="s">
        <v>5115</v>
      </c>
      <c r="L3846" s="1" t="s">
        <v>360</v>
      </c>
      <c r="M3846" s="1" t="s">
        <v>361</v>
      </c>
      <c r="N3846" s="1" t="s">
        <v>1431</v>
      </c>
      <c r="P3846" s="1" t="s">
        <v>1212</v>
      </c>
      <c r="Q3846" s="3">
        <v>0</v>
      </c>
      <c r="S3846" s="23" t="s">
        <v>5949</v>
      </c>
      <c r="W3846" s="45" t="str">
        <f>HYPERLINK("http://ictvonline.org/taxonomy/p/taxonomy-history?taxnode_id=201855034","ICTVonline=201855034")</f>
        <v>ICTVonline=201855034</v>
      </c>
      <c r="AA3846" s="1">
        <v>201850000</v>
      </c>
      <c r="AB3846" s="1">
        <v>34</v>
      </c>
    </row>
    <row r="3847" spans="1:28" x14ac:dyDescent="0.15">
      <c r="A3847" s="1">
        <v>9776</v>
      </c>
      <c r="J3847" s="1" t="s">
        <v>5115</v>
      </c>
      <c r="L3847" s="1" t="s">
        <v>360</v>
      </c>
      <c r="M3847" s="1" t="s">
        <v>361</v>
      </c>
      <c r="N3847" s="1" t="s">
        <v>1431</v>
      </c>
      <c r="P3847" s="1" t="s">
        <v>5134</v>
      </c>
      <c r="Q3847" s="3">
        <v>0</v>
      </c>
      <c r="S3847" s="23" t="s">
        <v>5949</v>
      </c>
      <c r="W3847" s="45" t="str">
        <f>HYPERLINK("http://ictvonline.org/taxonomy/p/taxonomy-history?taxnode_id=201855035","ICTVonline=201855035")</f>
        <v>ICTVonline=201855035</v>
      </c>
      <c r="AA3847" s="1">
        <v>201850000</v>
      </c>
      <c r="AB3847" s="1">
        <v>34</v>
      </c>
    </row>
    <row r="3848" spans="1:28" x14ac:dyDescent="0.15">
      <c r="A3848" s="1">
        <v>9782</v>
      </c>
      <c r="J3848" s="1" t="s">
        <v>5115</v>
      </c>
      <c r="L3848" s="1" t="s">
        <v>360</v>
      </c>
      <c r="M3848" s="1" t="s">
        <v>1213</v>
      </c>
      <c r="N3848" s="1" t="s">
        <v>5135</v>
      </c>
      <c r="P3848" s="1" t="s">
        <v>1370</v>
      </c>
      <c r="Q3848" s="3">
        <v>1</v>
      </c>
      <c r="S3848" s="23" t="s">
        <v>5949</v>
      </c>
      <c r="W3848" s="45" t="str">
        <f>HYPERLINK("http://ictvonline.org/taxonomy/p/taxonomy-history?taxnode_id=201855039","ICTVonline=201855039")</f>
        <v>ICTVonline=201855039</v>
      </c>
      <c r="AA3848" s="1">
        <v>201850000</v>
      </c>
      <c r="AB3848" s="1">
        <v>34</v>
      </c>
    </row>
    <row r="3849" spans="1:28" x14ac:dyDescent="0.15">
      <c r="A3849" s="1">
        <v>9786</v>
      </c>
      <c r="J3849" s="1" t="s">
        <v>5115</v>
      </c>
      <c r="L3849" s="1" t="s">
        <v>360</v>
      </c>
      <c r="M3849" s="1" t="s">
        <v>1213</v>
      </c>
      <c r="N3849" s="1" t="s">
        <v>5136</v>
      </c>
      <c r="P3849" s="1" t="s">
        <v>1371</v>
      </c>
      <c r="Q3849" s="3">
        <v>1</v>
      </c>
      <c r="S3849" s="23" t="s">
        <v>5949</v>
      </c>
      <c r="W3849" s="45" t="str">
        <f>HYPERLINK("http://ictvonline.org/taxonomy/p/taxonomy-history?taxnode_id=201855040","ICTVonline=201855040")</f>
        <v>ICTVonline=201855040</v>
      </c>
      <c r="AA3849" s="1">
        <v>201850000</v>
      </c>
      <c r="AB3849" s="1">
        <v>34</v>
      </c>
    </row>
    <row r="3850" spans="1:28" x14ac:dyDescent="0.15">
      <c r="A3850" s="1">
        <v>9790</v>
      </c>
      <c r="J3850" s="1" t="s">
        <v>5115</v>
      </c>
      <c r="L3850" s="1" t="s">
        <v>360</v>
      </c>
      <c r="M3850" s="1" t="s">
        <v>1213</v>
      </c>
      <c r="N3850" s="1" t="s">
        <v>5137</v>
      </c>
      <c r="P3850" s="1" t="s">
        <v>1372</v>
      </c>
      <c r="Q3850" s="3">
        <v>1</v>
      </c>
      <c r="S3850" s="23" t="s">
        <v>5949</v>
      </c>
      <c r="W3850" s="45" t="str">
        <f>HYPERLINK("http://ictvonline.org/taxonomy/p/taxonomy-history?taxnode_id=201855041","ICTVonline=201855041")</f>
        <v>ICTVonline=201855041</v>
      </c>
      <c r="AA3850" s="1">
        <v>201850000</v>
      </c>
      <c r="AB3850" s="1">
        <v>34</v>
      </c>
    </row>
    <row r="3851" spans="1:28" x14ac:dyDescent="0.15">
      <c r="A3851" s="1">
        <v>9794</v>
      </c>
      <c r="J3851" s="1" t="s">
        <v>5115</v>
      </c>
      <c r="L3851" s="1" t="s">
        <v>360</v>
      </c>
      <c r="M3851" s="1" t="s">
        <v>1213</v>
      </c>
      <c r="N3851" s="1" t="s">
        <v>5138</v>
      </c>
      <c r="P3851" s="1" t="s">
        <v>5139</v>
      </c>
      <c r="Q3851" s="3">
        <v>1</v>
      </c>
      <c r="S3851" s="23" t="s">
        <v>5949</v>
      </c>
      <c r="W3851" s="45" t="str">
        <f>HYPERLINK("http://ictvonline.org/taxonomy/p/taxonomy-history?taxnode_id=201855932","ICTVonline=201855932")</f>
        <v>ICTVonline=201855932</v>
      </c>
      <c r="AA3851" s="1">
        <v>201850000</v>
      </c>
      <c r="AB3851" s="1">
        <v>34</v>
      </c>
    </row>
    <row r="3852" spans="1:28" x14ac:dyDescent="0.15">
      <c r="A3852" s="1">
        <v>9798</v>
      </c>
      <c r="J3852" s="1" t="s">
        <v>5115</v>
      </c>
      <c r="L3852" s="1" t="s">
        <v>360</v>
      </c>
      <c r="M3852" s="1" t="s">
        <v>1213</v>
      </c>
      <c r="N3852" s="1" t="s">
        <v>5140</v>
      </c>
      <c r="P3852" s="1" t="s">
        <v>5141</v>
      </c>
      <c r="Q3852" s="3">
        <v>0</v>
      </c>
      <c r="S3852" s="23" t="s">
        <v>5949</v>
      </c>
      <c r="W3852" s="45" t="str">
        <f>HYPERLINK("http://ictvonline.org/taxonomy/p/taxonomy-history?taxnode_id=201855934","ICTVonline=201855934")</f>
        <v>ICTVonline=201855934</v>
      </c>
      <c r="AA3852" s="1">
        <v>201850000</v>
      </c>
      <c r="AB3852" s="1">
        <v>34</v>
      </c>
    </row>
    <row r="3853" spans="1:28" x14ac:dyDescent="0.15">
      <c r="A3853" s="1">
        <v>9800</v>
      </c>
      <c r="J3853" s="1" t="s">
        <v>5115</v>
      </c>
      <c r="L3853" s="1" t="s">
        <v>360</v>
      </c>
      <c r="M3853" s="1" t="s">
        <v>1213</v>
      </c>
      <c r="N3853" s="1" t="s">
        <v>5140</v>
      </c>
      <c r="P3853" s="1" t="s">
        <v>6871</v>
      </c>
      <c r="Q3853" s="3">
        <v>0</v>
      </c>
      <c r="S3853" s="23" t="s">
        <v>5949</v>
      </c>
      <c r="T3853" s="23" t="s">
        <v>6499</v>
      </c>
      <c r="U3853" s="3">
        <v>34</v>
      </c>
      <c r="V3853" s="3" t="s">
        <v>6872</v>
      </c>
      <c r="W3853" s="45" t="str">
        <f>HYPERLINK("http://ictvonline.org/taxonomy/p/taxonomy-history?taxnode_id=201855935","ICTVonline=201855935")</f>
        <v>ICTVonline=201855935</v>
      </c>
      <c r="AA3853" s="1">
        <v>201850000</v>
      </c>
      <c r="AB3853" s="1">
        <v>34</v>
      </c>
    </row>
    <row r="3854" spans="1:28" x14ac:dyDescent="0.15">
      <c r="A3854" s="1">
        <v>9802</v>
      </c>
      <c r="J3854" s="1" t="s">
        <v>5115</v>
      </c>
      <c r="L3854" s="1" t="s">
        <v>360</v>
      </c>
      <c r="M3854" s="1" t="s">
        <v>1213</v>
      </c>
      <c r="N3854" s="1" t="s">
        <v>5140</v>
      </c>
      <c r="P3854" s="1" t="s">
        <v>6873</v>
      </c>
      <c r="Q3854" s="3">
        <v>0</v>
      </c>
      <c r="S3854" s="23" t="s">
        <v>5949</v>
      </c>
      <c r="T3854" s="23" t="s">
        <v>4929</v>
      </c>
      <c r="U3854" s="3">
        <v>34</v>
      </c>
      <c r="V3854" s="3" t="s">
        <v>6872</v>
      </c>
      <c r="W3854" s="45" t="str">
        <f>HYPERLINK("http://ictvonline.org/taxonomy/p/taxonomy-history?taxnode_id=201856445","ICTVonline=201856445")</f>
        <v>ICTVonline=201856445</v>
      </c>
      <c r="AA3854" s="1">
        <v>201850000</v>
      </c>
      <c r="AB3854" s="1">
        <v>34</v>
      </c>
    </row>
    <row r="3855" spans="1:28" x14ac:dyDescent="0.15">
      <c r="A3855" s="1">
        <v>9804</v>
      </c>
      <c r="J3855" s="1" t="s">
        <v>5115</v>
      </c>
      <c r="L3855" s="1" t="s">
        <v>360</v>
      </c>
      <c r="M3855" s="1" t="s">
        <v>1213</v>
      </c>
      <c r="N3855" s="1" t="s">
        <v>5140</v>
      </c>
      <c r="P3855" s="1" t="s">
        <v>5142</v>
      </c>
      <c r="Q3855" s="3">
        <v>1</v>
      </c>
      <c r="S3855" s="23" t="s">
        <v>5949</v>
      </c>
      <c r="W3855" s="45" t="str">
        <f>HYPERLINK("http://ictvonline.org/taxonomy/p/taxonomy-history?taxnode_id=201855043","ICTVonline=201855043")</f>
        <v>ICTVonline=201855043</v>
      </c>
      <c r="AA3855" s="1">
        <v>201850000</v>
      </c>
      <c r="AB3855" s="1">
        <v>34</v>
      </c>
    </row>
    <row r="3856" spans="1:28" x14ac:dyDescent="0.15">
      <c r="A3856" s="1">
        <v>9806</v>
      </c>
      <c r="J3856" s="1" t="s">
        <v>5115</v>
      </c>
      <c r="L3856" s="1" t="s">
        <v>360</v>
      </c>
      <c r="M3856" s="1" t="s">
        <v>1213</v>
      </c>
      <c r="N3856" s="1" t="s">
        <v>5140</v>
      </c>
      <c r="P3856" s="1" t="s">
        <v>5143</v>
      </c>
      <c r="Q3856" s="3">
        <v>0</v>
      </c>
      <c r="S3856" s="23" t="s">
        <v>5949</v>
      </c>
      <c r="W3856" s="45" t="str">
        <f>HYPERLINK("http://ictvonline.org/taxonomy/p/taxonomy-history?taxnode_id=201855038","ICTVonline=201855038")</f>
        <v>ICTVonline=201855038</v>
      </c>
      <c r="AA3856" s="1">
        <v>201850000</v>
      </c>
      <c r="AB3856" s="1">
        <v>34</v>
      </c>
    </row>
    <row r="3857" spans="1:28" x14ac:dyDescent="0.15">
      <c r="A3857" s="1">
        <v>9808</v>
      </c>
      <c r="J3857" s="1" t="s">
        <v>5115</v>
      </c>
      <c r="L3857" s="1" t="s">
        <v>360</v>
      </c>
      <c r="M3857" s="1" t="s">
        <v>1213</v>
      </c>
      <c r="N3857" s="1" t="s">
        <v>5140</v>
      </c>
      <c r="P3857" s="1" t="s">
        <v>5144</v>
      </c>
      <c r="Q3857" s="3">
        <v>0</v>
      </c>
      <c r="S3857" s="23" t="s">
        <v>5949</v>
      </c>
      <c r="W3857" s="45" t="str">
        <f>HYPERLINK("http://ictvonline.org/taxonomy/p/taxonomy-history?taxnode_id=201855936","ICTVonline=201855936")</f>
        <v>ICTVonline=201855936</v>
      </c>
      <c r="AA3857" s="1">
        <v>201850000</v>
      </c>
      <c r="AB3857" s="1">
        <v>34</v>
      </c>
    </row>
    <row r="3858" spans="1:28" x14ac:dyDescent="0.15">
      <c r="A3858" s="1">
        <v>9810</v>
      </c>
      <c r="J3858" s="1" t="s">
        <v>5115</v>
      </c>
      <c r="L3858" s="1" t="s">
        <v>360</v>
      </c>
      <c r="M3858" s="1" t="s">
        <v>1213</v>
      </c>
      <c r="N3858" s="1" t="s">
        <v>5140</v>
      </c>
      <c r="P3858" s="1" t="s">
        <v>5145</v>
      </c>
      <c r="Q3858" s="3">
        <v>0</v>
      </c>
      <c r="S3858" s="23" t="s">
        <v>5949</v>
      </c>
      <c r="W3858" s="45" t="str">
        <f>HYPERLINK("http://ictvonline.org/taxonomy/p/taxonomy-history?taxnode_id=201855937","ICTVonline=201855937")</f>
        <v>ICTVonline=201855937</v>
      </c>
      <c r="AA3858" s="1">
        <v>201850000</v>
      </c>
      <c r="AB3858" s="1">
        <v>34</v>
      </c>
    </row>
    <row r="3859" spans="1:28" x14ac:dyDescent="0.15">
      <c r="A3859" s="1">
        <v>9812</v>
      </c>
      <c r="J3859" s="1" t="s">
        <v>5115</v>
      </c>
      <c r="L3859" s="1" t="s">
        <v>360</v>
      </c>
      <c r="M3859" s="1" t="s">
        <v>1213</v>
      </c>
      <c r="N3859" s="1" t="s">
        <v>5140</v>
      </c>
      <c r="P3859" s="1" t="s">
        <v>5146</v>
      </c>
      <c r="Q3859" s="3">
        <v>0</v>
      </c>
      <c r="S3859" s="23" t="s">
        <v>5949</v>
      </c>
      <c r="W3859" s="45" t="str">
        <f>HYPERLINK("http://ictvonline.org/taxonomy/p/taxonomy-history?taxnode_id=201855938","ICTVonline=201855938")</f>
        <v>ICTVonline=201855938</v>
      </c>
      <c r="AA3859" s="1">
        <v>201850000</v>
      </c>
      <c r="AB3859" s="1">
        <v>34</v>
      </c>
    </row>
    <row r="3860" spans="1:28" x14ac:dyDescent="0.15">
      <c r="A3860" s="1">
        <v>9814</v>
      </c>
      <c r="J3860" s="1" t="s">
        <v>5115</v>
      </c>
      <c r="L3860" s="1" t="s">
        <v>360</v>
      </c>
      <c r="M3860" s="1" t="s">
        <v>1213</v>
      </c>
      <c r="N3860" s="1" t="s">
        <v>5140</v>
      </c>
      <c r="P3860" s="1" t="s">
        <v>5147</v>
      </c>
      <c r="Q3860" s="3">
        <v>0</v>
      </c>
      <c r="S3860" s="23" t="s">
        <v>5949</v>
      </c>
      <c r="W3860" s="45" t="str">
        <f>HYPERLINK("http://ictvonline.org/taxonomy/p/taxonomy-history?taxnode_id=201855939","ICTVonline=201855939")</f>
        <v>ICTVonline=201855939</v>
      </c>
      <c r="AA3860" s="1">
        <v>201850000</v>
      </c>
      <c r="AB3860" s="1">
        <v>34</v>
      </c>
    </row>
    <row r="3861" spans="1:28" x14ac:dyDescent="0.15">
      <c r="A3861" s="1">
        <v>9816</v>
      </c>
      <c r="J3861" s="1" t="s">
        <v>5115</v>
      </c>
      <c r="L3861" s="1" t="s">
        <v>360</v>
      </c>
      <c r="M3861" s="1" t="s">
        <v>1213</v>
      </c>
      <c r="N3861" s="1" t="s">
        <v>5140</v>
      </c>
      <c r="P3861" s="1" t="s">
        <v>5148</v>
      </c>
      <c r="Q3861" s="3">
        <v>0</v>
      </c>
      <c r="S3861" s="23" t="s">
        <v>5949</v>
      </c>
      <c r="W3861" s="45" t="str">
        <f>HYPERLINK("http://ictvonline.org/taxonomy/p/taxonomy-history?taxnode_id=201855940","ICTVonline=201855940")</f>
        <v>ICTVonline=201855940</v>
      </c>
      <c r="AA3861" s="1">
        <v>201850000</v>
      </c>
      <c r="AB3861" s="1">
        <v>34</v>
      </c>
    </row>
    <row r="3862" spans="1:28" x14ac:dyDescent="0.15">
      <c r="A3862" s="1">
        <v>9818</v>
      </c>
      <c r="J3862" s="1" t="s">
        <v>5115</v>
      </c>
      <c r="L3862" s="1" t="s">
        <v>360</v>
      </c>
      <c r="M3862" s="1" t="s">
        <v>1213</v>
      </c>
      <c r="N3862" s="1" t="s">
        <v>5140</v>
      </c>
      <c r="P3862" s="1" t="s">
        <v>5149</v>
      </c>
      <c r="Q3862" s="3">
        <v>0</v>
      </c>
      <c r="S3862" s="23" t="s">
        <v>5949</v>
      </c>
      <c r="W3862" s="45" t="str">
        <f>HYPERLINK("http://ictvonline.org/taxonomy/p/taxonomy-history?taxnode_id=201855042","ICTVonline=201855042")</f>
        <v>ICTVonline=201855042</v>
      </c>
      <c r="AA3862" s="1">
        <v>201850000</v>
      </c>
      <c r="AB3862" s="1">
        <v>34</v>
      </c>
    </row>
    <row r="3863" spans="1:28" x14ac:dyDescent="0.15">
      <c r="A3863" s="1">
        <v>9820</v>
      </c>
      <c r="J3863" s="1" t="s">
        <v>5115</v>
      </c>
      <c r="L3863" s="1" t="s">
        <v>360</v>
      </c>
      <c r="M3863" s="1" t="s">
        <v>1213</v>
      </c>
      <c r="N3863" s="1" t="s">
        <v>5140</v>
      </c>
      <c r="P3863" s="1" t="s">
        <v>5150</v>
      </c>
      <c r="Q3863" s="3">
        <v>0</v>
      </c>
      <c r="S3863" s="23" t="s">
        <v>5949</v>
      </c>
      <c r="W3863" s="45" t="str">
        <f>HYPERLINK("http://ictvonline.org/taxonomy/p/taxonomy-history?taxnode_id=201855941","ICTVonline=201855941")</f>
        <v>ICTVonline=201855941</v>
      </c>
      <c r="AA3863" s="1">
        <v>201850000</v>
      </c>
      <c r="AB3863" s="1">
        <v>34</v>
      </c>
    </row>
    <row r="3864" spans="1:28" x14ac:dyDescent="0.15">
      <c r="A3864" s="1">
        <v>9822</v>
      </c>
      <c r="J3864" s="1" t="s">
        <v>5115</v>
      </c>
      <c r="L3864" s="1" t="s">
        <v>360</v>
      </c>
      <c r="M3864" s="1" t="s">
        <v>1213</v>
      </c>
      <c r="N3864" s="1" t="s">
        <v>5140</v>
      </c>
      <c r="P3864" s="1" t="s">
        <v>5151</v>
      </c>
      <c r="Q3864" s="3">
        <v>0</v>
      </c>
      <c r="S3864" s="23" t="s">
        <v>5949</v>
      </c>
      <c r="W3864" s="45" t="str">
        <f>HYPERLINK("http://ictvonline.org/taxonomy/p/taxonomy-history?taxnode_id=201855942","ICTVonline=201855942")</f>
        <v>ICTVonline=201855942</v>
      </c>
      <c r="AA3864" s="1">
        <v>201850000</v>
      </c>
      <c r="AB3864" s="1">
        <v>34</v>
      </c>
    </row>
    <row r="3865" spans="1:28" x14ac:dyDescent="0.15">
      <c r="A3865" s="1">
        <v>9824</v>
      </c>
      <c r="J3865" s="1" t="s">
        <v>5115</v>
      </c>
      <c r="L3865" s="1" t="s">
        <v>360</v>
      </c>
      <c r="M3865" s="1" t="s">
        <v>1213</v>
      </c>
      <c r="N3865" s="1" t="s">
        <v>5140</v>
      </c>
      <c r="P3865" s="1" t="s">
        <v>5152</v>
      </c>
      <c r="Q3865" s="3">
        <v>0</v>
      </c>
      <c r="S3865" s="23" t="s">
        <v>5949</v>
      </c>
      <c r="W3865" s="45" t="str">
        <f>HYPERLINK("http://ictvonline.org/taxonomy/p/taxonomy-history?taxnode_id=201855943","ICTVonline=201855943")</f>
        <v>ICTVonline=201855943</v>
      </c>
      <c r="AA3865" s="1">
        <v>201850000</v>
      </c>
      <c r="AB3865" s="1">
        <v>34</v>
      </c>
    </row>
    <row r="3866" spans="1:28" x14ac:dyDescent="0.15">
      <c r="A3866" s="1">
        <v>9826</v>
      </c>
      <c r="J3866" s="1" t="s">
        <v>5115</v>
      </c>
      <c r="L3866" s="1" t="s">
        <v>360</v>
      </c>
      <c r="M3866" s="1" t="s">
        <v>1213</v>
      </c>
      <c r="N3866" s="1" t="s">
        <v>5140</v>
      </c>
      <c r="P3866" s="1" t="s">
        <v>5153</v>
      </c>
      <c r="Q3866" s="3">
        <v>0</v>
      </c>
      <c r="S3866" s="23" t="s">
        <v>5949</v>
      </c>
      <c r="W3866" s="45" t="str">
        <f>HYPERLINK("http://ictvonline.org/taxonomy/p/taxonomy-history?taxnode_id=201855944","ICTVonline=201855944")</f>
        <v>ICTVonline=201855944</v>
      </c>
      <c r="AA3866" s="1">
        <v>201850000</v>
      </c>
      <c r="AB3866" s="1">
        <v>34</v>
      </c>
    </row>
    <row r="3867" spans="1:28" x14ac:dyDescent="0.15">
      <c r="A3867" s="1">
        <v>9834</v>
      </c>
      <c r="L3867" s="1" t="s">
        <v>1781</v>
      </c>
      <c r="N3867" s="1" t="s">
        <v>1782</v>
      </c>
      <c r="P3867" s="1" t="s">
        <v>2328</v>
      </c>
      <c r="Q3867" s="3">
        <v>0</v>
      </c>
      <c r="S3867" s="23" t="s">
        <v>5949</v>
      </c>
      <c r="W3867" s="45" t="str">
        <f>HYPERLINK("http://ictvonline.org/taxonomy/p/taxonomy-history?taxnode_id=201852390","ICTVonline=201852390")</f>
        <v>ICTVonline=201852390</v>
      </c>
      <c r="AA3867" s="1">
        <v>201850000</v>
      </c>
      <c r="AB3867" s="1">
        <v>34</v>
      </c>
    </row>
    <row r="3868" spans="1:28" x14ac:dyDescent="0.15">
      <c r="A3868" s="1">
        <v>9836</v>
      </c>
      <c r="L3868" s="1" t="s">
        <v>1781</v>
      </c>
      <c r="N3868" s="1" t="s">
        <v>1782</v>
      </c>
      <c r="P3868" s="1" t="s">
        <v>5224</v>
      </c>
      <c r="Q3868" s="3">
        <v>0</v>
      </c>
      <c r="S3868" s="23" t="s">
        <v>5949</v>
      </c>
      <c r="W3868" s="45" t="str">
        <f>HYPERLINK("http://ictvonline.org/taxonomy/p/taxonomy-history?taxnode_id=201855652","ICTVonline=201855652")</f>
        <v>ICTVonline=201855652</v>
      </c>
      <c r="AA3868" s="1">
        <v>201850000</v>
      </c>
      <c r="AB3868" s="1">
        <v>34</v>
      </c>
    </row>
    <row r="3869" spans="1:28" x14ac:dyDescent="0.15">
      <c r="A3869" s="1">
        <v>9838</v>
      </c>
      <c r="L3869" s="1" t="s">
        <v>1781</v>
      </c>
      <c r="N3869" s="1" t="s">
        <v>1782</v>
      </c>
      <c r="P3869" s="1" t="s">
        <v>2329</v>
      </c>
      <c r="Q3869" s="3">
        <v>0</v>
      </c>
      <c r="S3869" s="23" t="s">
        <v>5949</v>
      </c>
      <c r="W3869" s="45" t="str">
        <f>HYPERLINK("http://ictvonline.org/taxonomy/p/taxonomy-history?taxnode_id=201852391","ICTVonline=201852391")</f>
        <v>ICTVonline=201852391</v>
      </c>
      <c r="AA3869" s="1">
        <v>201850000</v>
      </c>
      <c r="AB3869" s="1">
        <v>34</v>
      </c>
    </row>
    <row r="3870" spans="1:28" x14ac:dyDescent="0.15">
      <c r="A3870" s="1">
        <v>9840</v>
      </c>
      <c r="L3870" s="1" t="s">
        <v>1781</v>
      </c>
      <c r="N3870" s="1" t="s">
        <v>1782</v>
      </c>
      <c r="P3870" s="1" t="s">
        <v>4617</v>
      </c>
      <c r="Q3870" s="3">
        <v>0</v>
      </c>
      <c r="S3870" s="23" t="s">
        <v>5949</v>
      </c>
      <c r="W3870" s="45" t="str">
        <f>HYPERLINK("http://ictvonline.org/taxonomy/p/taxonomy-history?taxnode_id=201852392","ICTVonline=201852392")</f>
        <v>ICTVonline=201852392</v>
      </c>
      <c r="AA3870" s="1">
        <v>201850000</v>
      </c>
      <c r="AB3870" s="1">
        <v>34</v>
      </c>
    </row>
    <row r="3871" spans="1:28" x14ac:dyDescent="0.15">
      <c r="A3871" s="1">
        <v>9842</v>
      </c>
      <c r="L3871" s="1" t="s">
        <v>1781</v>
      </c>
      <c r="N3871" s="1" t="s">
        <v>1782</v>
      </c>
      <c r="P3871" s="1" t="s">
        <v>2330</v>
      </c>
      <c r="Q3871" s="3">
        <v>1</v>
      </c>
      <c r="S3871" s="23" t="s">
        <v>5949</v>
      </c>
      <c r="W3871" s="45" t="str">
        <f>HYPERLINK("http://ictvonline.org/taxonomy/p/taxonomy-history?taxnode_id=201852393","ICTVonline=201852393")</f>
        <v>ICTVonline=201852393</v>
      </c>
      <c r="AA3871" s="1">
        <v>201850000</v>
      </c>
      <c r="AB3871" s="1">
        <v>34</v>
      </c>
    </row>
    <row r="3872" spans="1:28" x14ac:dyDescent="0.15">
      <c r="A3872" s="1">
        <v>9844</v>
      </c>
      <c r="L3872" s="1" t="s">
        <v>1781</v>
      </c>
      <c r="N3872" s="1" t="s">
        <v>1782</v>
      </c>
      <c r="P3872" s="1" t="s">
        <v>2331</v>
      </c>
      <c r="Q3872" s="3">
        <v>0</v>
      </c>
      <c r="S3872" s="23" t="s">
        <v>5949</v>
      </c>
      <c r="W3872" s="45" t="str">
        <f>HYPERLINK("http://ictvonline.org/taxonomy/p/taxonomy-history?taxnode_id=201852394","ICTVonline=201852394")</f>
        <v>ICTVonline=201852394</v>
      </c>
      <c r="AA3872" s="1">
        <v>201850000</v>
      </c>
      <c r="AB3872" s="1">
        <v>34</v>
      </c>
    </row>
    <row r="3873" spans="1:28" x14ac:dyDescent="0.15">
      <c r="A3873" s="1">
        <v>9846</v>
      </c>
      <c r="L3873" s="1" t="s">
        <v>1781</v>
      </c>
      <c r="N3873" s="1" t="s">
        <v>1782</v>
      </c>
      <c r="P3873" s="1" t="s">
        <v>4618</v>
      </c>
      <c r="Q3873" s="3">
        <v>0</v>
      </c>
      <c r="S3873" s="23" t="s">
        <v>5949</v>
      </c>
      <c r="W3873" s="45" t="str">
        <f>HYPERLINK("http://ictvonline.org/taxonomy/p/taxonomy-history?taxnode_id=201852395","ICTVonline=201852395")</f>
        <v>ICTVonline=201852395</v>
      </c>
      <c r="AA3873" s="1">
        <v>201850000</v>
      </c>
      <c r="AB3873" s="1">
        <v>34</v>
      </c>
    </row>
    <row r="3874" spans="1:28" x14ac:dyDescent="0.15">
      <c r="A3874" s="1">
        <v>9848</v>
      </c>
      <c r="L3874" s="1" t="s">
        <v>1781</v>
      </c>
      <c r="N3874" s="1" t="s">
        <v>1782</v>
      </c>
      <c r="P3874" s="1" t="s">
        <v>2332</v>
      </c>
      <c r="Q3874" s="3">
        <v>0</v>
      </c>
      <c r="S3874" s="23" t="s">
        <v>5949</v>
      </c>
      <c r="W3874" s="45" t="str">
        <f>HYPERLINK("http://ictvonline.org/taxonomy/p/taxonomy-history?taxnode_id=201852396","ICTVonline=201852396")</f>
        <v>ICTVonline=201852396</v>
      </c>
      <c r="AA3874" s="1">
        <v>201850000</v>
      </c>
      <c r="AB3874" s="1">
        <v>34</v>
      </c>
    </row>
    <row r="3875" spans="1:28" x14ac:dyDescent="0.15">
      <c r="A3875" s="1">
        <v>9852</v>
      </c>
      <c r="L3875" s="1" t="s">
        <v>1781</v>
      </c>
      <c r="N3875" s="1" t="s">
        <v>1385</v>
      </c>
      <c r="P3875" s="1" t="s">
        <v>3674</v>
      </c>
      <c r="Q3875" s="3">
        <v>0</v>
      </c>
      <c r="S3875" s="23" t="s">
        <v>5949</v>
      </c>
      <c r="W3875" s="45" t="str">
        <f>HYPERLINK("http://ictvonline.org/taxonomy/p/taxonomy-history?taxnode_id=201852398","ICTVonline=201852398")</f>
        <v>ICTVonline=201852398</v>
      </c>
      <c r="AA3875" s="1">
        <v>201850000</v>
      </c>
      <c r="AB3875" s="1">
        <v>34</v>
      </c>
    </row>
    <row r="3876" spans="1:28" x14ac:dyDescent="0.15">
      <c r="A3876" s="1">
        <v>9854</v>
      </c>
      <c r="L3876" s="1" t="s">
        <v>1781</v>
      </c>
      <c r="N3876" s="1" t="s">
        <v>1385</v>
      </c>
      <c r="P3876" s="1" t="s">
        <v>2333</v>
      </c>
      <c r="Q3876" s="3">
        <v>0</v>
      </c>
      <c r="S3876" s="23" t="s">
        <v>5949</v>
      </c>
      <c r="W3876" s="45" t="str">
        <f>HYPERLINK("http://ictvonline.org/taxonomy/p/taxonomy-history?taxnode_id=201852399","ICTVonline=201852399")</f>
        <v>ICTVonline=201852399</v>
      </c>
      <c r="AA3876" s="1">
        <v>201850000</v>
      </c>
      <c r="AB3876" s="1">
        <v>34</v>
      </c>
    </row>
    <row r="3877" spans="1:28" x14ac:dyDescent="0.15">
      <c r="A3877" s="1">
        <v>9856</v>
      </c>
      <c r="L3877" s="1" t="s">
        <v>1781</v>
      </c>
      <c r="N3877" s="1" t="s">
        <v>1385</v>
      </c>
      <c r="P3877" s="1" t="s">
        <v>2334</v>
      </c>
      <c r="Q3877" s="3">
        <v>1</v>
      </c>
      <c r="S3877" s="23" t="s">
        <v>5949</v>
      </c>
      <c r="W3877" s="45" t="str">
        <f>HYPERLINK("http://ictvonline.org/taxonomy/p/taxonomy-history?taxnode_id=201852400","ICTVonline=201852400")</f>
        <v>ICTVonline=201852400</v>
      </c>
      <c r="AA3877" s="1">
        <v>201850000</v>
      </c>
      <c r="AB3877" s="1">
        <v>34</v>
      </c>
    </row>
    <row r="3878" spans="1:28" x14ac:dyDescent="0.15">
      <c r="A3878" s="1">
        <v>9858</v>
      </c>
      <c r="L3878" s="1" t="s">
        <v>1781</v>
      </c>
      <c r="N3878" s="1" t="s">
        <v>1385</v>
      </c>
      <c r="P3878" s="1" t="s">
        <v>2335</v>
      </c>
      <c r="Q3878" s="3">
        <v>0</v>
      </c>
      <c r="S3878" s="23" t="s">
        <v>5949</v>
      </c>
      <c r="W3878" s="45" t="str">
        <f>HYPERLINK("http://ictvonline.org/taxonomy/p/taxonomy-history?taxnode_id=201852401","ICTVonline=201852401")</f>
        <v>ICTVonline=201852401</v>
      </c>
      <c r="AA3878" s="1">
        <v>201850000</v>
      </c>
      <c r="AB3878" s="1">
        <v>34</v>
      </c>
    </row>
    <row r="3879" spans="1:28" x14ac:dyDescent="0.15">
      <c r="A3879" s="1">
        <v>9860</v>
      </c>
      <c r="L3879" s="1" t="s">
        <v>1781</v>
      </c>
      <c r="N3879" s="1" t="s">
        <v>1385</v>
      </c>
      <c r="P3879" s="1" t="s">
        <v>2336</v>
      </c>
      <c r="Q3879" s="3">
        <v>0</v>
      </c>
      <c r="S3879" s="23" t="s">
        <v>5949</v>
      </c>
      <c r="W3879" s="45" t="str">
        <f>HYPERLINK("http://ictvonline.org/taxonomy/p/taxonomy-history?taxnode_id=201852402","ICTVonline=201852402")</f>
        <v>ICTVonline=201852402</v>
      </c>
      <c r="AA3879" s="1">
        <v>201850000</v>
      </c>
      <c r="AB3879" s="1">
        <v>34</v>
      </c>
    </row>
    <row r="3880" spans="1:28" x14ac:dyDescent="0.15">
      <c r="A3880" s="1">
        <v>9862</v>
      </c>
      <c r="L3880" s="1" t="s">
        <v>1781</v>
      </c>
      <c r="N3880" s="1" t="s">
        <v>1385</v>
      </c>
      <c r="P3880" s="1" t="s">
        <v>2337</v>
      </c>
      <c r="Q3880" s="3">
        <v>0</v>
      </c>
      <c r="S3880" s="23" t="s">
        <v>5949</v>
      </c>
      <c r="W3880" s="45" t="str">
        <f>HYPERLINK("http://ictvonline.org/taxonomy/p/taxonomy-history?taxnode_id=201852403","ICTVonline=201852403")</f>
        <v>ICTVonline=201852403</v>
      </c>
      <c r="AA3880" s="1">
        <v>201850000</v>
      </c>
      <c r="AB3880" s="1">
        <v>34</v>
      </c>
    </row>
    <row r="3881" spans="1:28" x14ac:dyDescent="0.15">
      <c r="A3881" s="1">
        <v>9864</v>
      </c>
      <c r="L3881" s="1" t="s">
        <v>1781</v>
      </c>
      <c r="N3881" s="1" t="s">
        <v>1385</v>
      </c>
      <c r="P3881" s="1" t="s">
        <v>2338</v>
      </c>
      <c r="Q3881" s="3">
        <v>0</v>
      </c>
      <c r="S3881" s="23" t="s">
        <v>5949</v>
      </c>
      <c r="W3881" s="45" t="str">
        <f>HYPERLINK("http://ictvonline.org/taxonomy/p/taxonomy-history?taxnode_id=201852404","ICTVonline=201852404")</f>
        <v>ICTVonline=201852404</v>
      </c>
      <c r="AA3881" s="1">
        <v>201850000</v>
      </c>
      <c r="AB3881" s="1">
        <v>34</v>
      </c>
    </row>
    <row r="3882" spans="1:28" x14ac:dyDescent="0.15">
      <c r="A3882" s="1">
        <v>9866</v>
      </c>
      <c r="L3882" s="1" t="s">
        <v>1781</v>
      </c>
      <c r="N3882" s="1" t="s">
        <v>1385</v>
      </c>
      <c r="P3882" s="1" t="s">
        <v>2339</v>
      </c>
      <c r="Q3882" s="3">
        <v>0</v>
      </c>
      <c r="S3882" s="23" t="s">
        <v>5949</v>
      </c>
      <c r="W3882" s="45" t="str">
        <f>HYPERLINK("http://ictvonline.org/taxonomy/p/taxonomy-history?taxnode_id=201852405","ICTVonline=201852405")</f>
        <v>ICTVonline=201852405</v>
      </c>
      <c r="AA3882" s="1">
        <v>201850000</v>
      </c>
      <c r="AB3882" s="1">
        <v>34</v>
      </c>
    </row>
    <row r="3883" spans="1:28" x14ac:dyDescent="0.15">
      <c r="A3883" s="1">
        <v>9868</v>
      </c>
      <c r="L3883" s="1" t="s">
        <v>1781</v>
      </c>
      <c r="N3883" s="1" t="s">
        <v>1385</v>
      </c>
      <c r="P3883" s="1" t="s">
        <v>3675</v>
      </c>
      <c r="Q3883" s="3">
        <v>0</v>
      </c>
      <c r="S3883" s="23" t="s">
        <v>5949</v>
      </c>
      <c r="W3883" s="45" t="str">
        <f>HYPERLINK("http://ictvonline.org/taxonomy/p/taxonomy-history?taxnode_id=201852406","ICTVonline=201852406")</f>
        <v>ICTVonline=201852406</v>
      </c>
      <c r="AA3883" s="1">
        <v>201850000</v>
      </c>
      <c r="AB3883" s="1">
        <v>34</v>
      </c>
    </row>
    <row r="3884" spans="1:28" x14ac:dyDescent="0.15">
      <c r="A3884" s="1">
        <v>9870</v>
      </c>
      <c r="L3884" s="1" t="s">
        <v>1781</v>
      </c>
      <c r="N3884" s="1" t="s">
        <v>1385</v>
      </c>
      <c r="P3884" s="1" t="s">
        <v>5225</v>
      </c>
      <c r="Q3884" s="3">
        <v>0</v>
      </c>
      <c r="S3884" s="23" t="s">
        <v>5949</v>
      </c>
      <c r="W3884" s="45" t="str">
        <f>HYPERLINK("http://ictvonline.org/taxonomy/p/taxonomy-history?taxnode_id=201855653","ICTVonline=201855653")</f>
        <v>ICTVonline=201855653</v>
      </c>
      <c r="AA3884" s="1">
        <v>201850000</v>
      </c>
      <c r="AB3884" s="1">
        <v>34</v>
      </c>
    </row>
    <row r="3885" spans="1:28" x14ac:dyDescent="0.15">
      <c r="A3885" s="1">
        <v>9872</v>
      </c>
      <c r="L3885" s="1" t="s">
        <v>1781</v>
      </c>
      <c r="N3885" s="1" t="s">
        <v>1385</v>
      </c>
      <c r="P3885" s="1" t="s">
        <v>5226</v>
      </c>
      <c r="Q3885" s="3">
        <v>0</v>
      </c>
      <c r="S3885" s="23" t="s">
        <v>5949</v>
      </c>
      <c r="W3885" s="45" t="str">
        <f>HYPERLINK("http://ictvonline.org/taxonomy/p/taxonomy-history?taxnode_id=201855654","ICTVonline=201855654")</f>
        <v>ICTVonline=201855654</v>
      </c>
      <c r="AA3885" s="1">
        <v>201850000</v>
      </c>
      <c r="AB3885" s="1">
        <v>34</v>
      </c>
    </row>
    <row r="3886" spans="1:28" x14ac:dyDescent="0.15">
      <c r="A3886" s="1">
        <v>9874</v>
      </c>
      <c r="L3886" s="1" t="s">
        <v>1781</v>
      </c>
      <c r="N3886" s="1" t="s">
        <v>1385</v>
      </c>
      <c r="P3886" s="1" t="s">
        <v>2340</v>
      </c>
      <c r="Q3886" s="3">
        <v>0</v>
      </c>
      <c r="S3886" s="23" t="s">
        <v>5949</v>
      </c>
      <c r="W3886" s="45" t="str">
        <f>HYPERLINK("http://ictvonline.org/taxonomy/p/taxonomy-history?taxnode_id=201852407","ICTVonline=201852407")</f>
        <v>ICTVonline=201852407</v>
      </c>
      <c r="AA3886" s="1">
        <v>201850000</v>
      </c>
      <c r="AB3886" s="1">
        <v>34</v>
      </c>
    </row>
    <row r="3887" spans="1:28" x14ac:dyDescent="0.15">
      <c r="A3887" s="1">
        <v>9876</v>
      </c>
      <c r="L3887" s="1" t="s">
        <v>1781</v>
      </c>
      <c r="N3887" s="1" t="s">
        <v>1385</v>
      </c>
      <c r="P3887" s="1" t="s">
        <v>3676</v>
      </c>
      <c r="Q3887" s="3">
        <v>0</v>
      </c>
      <c r="S3887" s="23" t="s">
        <v>5949</v>
      </c>
      <c r="W3887" s="45" t="str">
        <f>HYPERLINK("http://ictvonline.org/taxonomy/p/taxonomy-history?taxnode_id=201852408","ICTVonline=201852408")</f>
        <v>ICTVonline=201852408</v>
      </c>
      <c r="AA3887" s="1">
        <v>201850000</v>
      </c>
      <c r="AB3887" s="1">
        <v>34</v>
      </c>
    </row>
    <row r="3888" spans="1:28" x14ac:dyDescent="0.15">
      <c r="A3888" s="1">
        <v>9878</v>
      </c>
      <c r="L3888" s="1" t="s">
        <v>1781</v>
      </c>
      <c r="N3888" s="1" t="s">
        <v>1385</v>
      </c>
      <c r="P3888" s="1" t="s">
        <v>3677</v>
      </c>
      <c r="Q3888" s="3">
        <v>0</v>
      </c>
      <c r="S3888" s="23" t="s">
        <v>5949</v>
      </c>
      <c r="W3888" s="45" t="str">
        <f>HYPERLINK("http://ictvonline.org/taxonomy/p/taxonomy-history?taxnode_id=201852409","ICTVonline=201852409")</f>
        <v>ICTVonline=201852409</v>
      </c>
      <c r="AA3888" s="1">
        <v>201850000</v>
      </c>
      <c r="AB3888" s="1">
        <v>34</v>
      </c>
    </row>
    <row r="3889" spans="1:28" x14ac:dyDescent="0.15">
      <c r="A3889" s="1">
        <v>9882</v>
      </c>
      <c r="L3889" s="1" t="s">
        <v>1781</v>
      </c>
      <c r="N3889" s="1" t="s">
        <v>1006</v>
      </c>
      <c r="P3889" s="1" t="s">
        <v>2341</v>
      </c>
      <c r="Q3889" s="3">
        <v>1</v>
      </c>
      <c r="S3889" s="23" t="s">
        <v>5949</v>
      </c>
      <c r="W3889" s="45" t="str">
        <f>HYPERLINK("http://ictvonline.org/taxonomy/p/taxonomy-history?taxnode_id=201852411","ICTVonline=201852411")</f>
        <v>ICTVonline=201852411</v>
      </c>
      <c r="AA3889" s="1">
        <v>201850000</v>
      </c>
      <c r="AB3889" s="1">
        <v>34</v>
      </c>
    </row>
    <row r="3890" spans="1:28" x14ac:dyDescent="0.15">
      <c r="A3890" s="1">
        <v>9886</v>
      </c>
      <c r="L3890" s="1" t="s">
        <v>1781</v>
      </c>
      <c r="N3890" s="1" t="s">
        <v>1441</v>
      </c>
      <c r="P3890" s="1" t="s">
        <v>2342</v>
      </c>
      <c r="Q3890" s="3">
        <v>0</v>
      </c>
      <c r="S3890" s="23" t="s">
        <v>5949</v>
      </c>
      <c r="W3890" s="45" t="str">
        <f>HYPERLINK("http://ictvonline.org/taxonomy/p/taxonomy-history?taxnode_id=201852413","ICTVonline=201852413")</f>
        <v>ICTVonline=201852413</v>
      </c>
      <c r="AA3890" s="1">
        <v>201850000</v>
      </c>
      <c r="AB3890" s="1">
        <v>34</v>
      </c>
    </row>
    <row r="3891" spans="1:28" x14ac:dyDescent="0.15">
      <c r="A3891" s="1">
        <v>9888</v>
      </c>
      <c r="L3891" s="1" t="s">
        <v>1781</v>
      </c>
      <c r="N3891" s="1" t="s">
        <v>1441</v>
      </c>
      <c r="P3891" s="1" t="s">
        <v>2343</v>
      </c>
      <c r="Q3891" s="3">
        <v>0</v>
      </c>
      <c r="S3891" s="23" t="s">
        <v>5949</v>
      </c>
      <c r="W3891" s="45" t="str">
        <f>HYPERLINK("http://ictvonline.org/taxonomy/p/taxonomy-history?taxnode_id=201852414","ICTVonline=201852414")</f>
        <v>ICTVonline=201852414</v>
      </c>
      <c r="AA3891" s="1">
        <v>201850000</v>
      </c>
      <c r="AB3891" s="1">
        <v>34</v>
      </c>
    </row>
    <row r="3892" spans="1:28" x14ac:dyDescent="0.15">
      <c r="A3892" s="1">
        <v>9890</v>
      </c>
      <c r="L3892" s="1" t="s">
        <v>1781</v>
      </c>
      <c r="N3892" s="1" t="s">
        <v>1441</v>
      </c>
      <c r="P3892" s="1" t="s">
        <v>5227</v>
      </c>
      <c r="Q3892" s="3">
        <v>0</v>
      </c>
      <c r="S3892" s="23" t="s">
        <v>5949</v>
      </c>
      <c r="W3892" s="45" t="str">
        <f>HYPERLINK("http://ictvonline.org/taxonomy/p/taxonomy-history?taxnode_id=201855655","ICTVonline=201855655")</f>
        <v>ICTVonline=201855655</v>
      </c>
      <c r="AA3892" s="1">
        <v>201850000</v>
      </c>
      <c r="AB3892" s="1">
        <v>34</v>
      </c>
    </row>
    <row r="3893" spans="1:28" x14ac:dyDescent="0.15">
      <c r="A3893" s="1">
        <v>9892</v>
      </c>
      <c r="L3893" s="1" t="s">
        <v>1781</v>
      </c>
      <c r="N3893" s="1" t="s">
        <v>1441</v>
      </c>
      <c r="P3893" s="1" t="s">
        <v>5228</v>
      </c>
      <c r="Q3893" s="3">
        <v>0</v>
      </c>
      <c r="S3893" s="23" t="s">
        <v>5949</v>
      </c>
      <c r="W3893" s="45" t="str">
        <f>HYPERLINK("http://ictvonline.org/taxonomy/p/taxonomy-history?taxnode_id=201855656","ICTVonline=201855656")</f>
        <v>ICTVonline=201855656</v>
      </c>
      <c r="AA3893" s="1">
        <v>201850000</v>
      </c>
      <c r="AB3893" s="1">
        <v>34</v>
      </c>
    </row>
    <row r="3894" spans="1:28" x14ac:dyDescent="0.15">
      <c r="A3894" s="1">
        <v>9894</v>
      </c>
      <c r="L3894" s="1" t="s">
        <v>1781</v>
      </c>
      <c r="N3894" s="1" t="s">
        <v>1441</v>
      </c>
      <c r="P3894" s="1" t="s">
        <v>5229</v>
      </c>
      <c r="Q3894" s="3">
        <v>0</v>
      </c>
      <c r="S3894" s="23" t="s">
        <v>5949</v>
      </c>
      <c r="W3894" s="45" t="str">
        <f>HYPERLINK("http://ictvonline.org/taxonomy/p/taxonomy-history?taxnode_id=201855657","ICTVonline=201855657")</f>
        <v>ICTVonline=201855657</v>
      </c>
      <c r="AA3894" s="1">
        <v>201850000</v>
      </c>
      <c r="AB3894" s="1">
        <v>34</v>
      </c>
    </row>
    <row r="3895" spans="1:28" x14ac:dyDescent="0.15">
      <c r="A3895" s="1">
        <v>9896</v>
      </c>
      <c r="L3895" s="1" t="s">
        <v>1781</v>
      </c>
      <c r="N3895" s="1" t="s">
        <v>1441</v>
      </c>
      <c r="P3895" s="1" t="s">
        <v>5230</v>
      </c>
      <c r="Q3895" s="3">
        <v>0</v>
      </c>
      <c r="S3895" s="23" t="s">
        <v>5949</v>
      </c>
      <c r="W3895" s="45" t="str">
        <f>HYPERLINK("http://ictvonline.org/taxonomy/p/taxonomy-history?taxnode_id=201855658","ICTVonline=201855658")</f>
        <v>ICTVonline=201855658</v>
      </c>
      <c r="AA3895" s="1">
        <v>201850000</v>
      </c>
      <c r="AB3895" s="1">
        <v>34</v>
      </c>
    </row>
    <row r="3896" spans="1:28" x14ac:dyDescent="0.15">
      <c r="A3896" s="1">
        <v>9898</v>
      </c>
      <c r="L3896" s="1" t="s">
        <v>1781</v>
      </c>
      <c r="N3896" s="1" t="s">
        <v>1441</v>
      </c>
      <c r="P3896" s="1" t="s">
        <v>5231</v>
      </c>
      <c r="Q3896" s="3">
        <v>0</v>
      </c>
      <c r="S3896" s="23" t="s">
        <v>5949</v>
      </c>
      <c r="W3896" s="45" t="str">
        <f>HYPERLINK("http://ictvonline.org/taxonomy/p/taxonomy-history?taxnode_id=201855659","ICTVonline=201855659")</f>
        <v>ICTVonline=201855659</v>
      </c>
      <c r="AA3896" s="1">
        <v>201850000</v>
      </c>
      <c r="AB3896" s="1">
        <v>34</v>
      </c>
    </row>
    <row r="3897" spans="1:28" x14ac:dyDescent="0.15">
      <c r="A3897" s="1">
        <v>9900</v>
      </c>
      <c r="L3897" s="1" t="s">
        <v>1781</v>
      </c>
      <c r="N3897" s="1" t="s">
        <v>1441</v>
      </c>
      <c r="P3897" s="1" t="s">
        <v>2344</v>
      </c>
      <c r="Q3897" s="3">
        <v>0</v>
      </c>
      <c r="S3897" s="23" t="s">
        <v>5949</v>
      </c>
      <c r="W3897" s="45" t="str">
        <f>HYPERLINK("http://ictvonline.org/taxonomy/p/taxonomy-history?taxnode_id=201852415","ICTVonline=201852415")</f>
        <v>ICTVonline=201852415</v>
      </c>
      <c r="AA3897" s="1">
        <v>201850000</v>
      </c>
      <c r="AB3897" s="1">
        <v>34</v>
      </c>
    </row>
    <row r="3898" spans="1:28" x14ac:dyDescent="0.15">
      <c r="A3898" s="1">
        <v>9902</v>
      </c>
      <c r="L3898" s="1" t="s">
        <v>1781</v>
      </c>
      <c r="N3898" s="1" t="s">
        <v>1441</v>
      </c>
      <c r="P3898" s="1" t="s">
        <v>2345</v>
      </c>
      <c r="Q3898" s="3">
        <v>0</v>
      </c>
      <c r="S3898" s="23" t="s">
        <v>5949</v>
      </c>
      <c r="W3898" s="45" t="str">
        <f>HYPERLINK("http://ictvonline.org/taxonomy/p/taxonomy-history?taxnode_id=201852416","ICTVonline=201852416")</f>
        <v>ICTVonline=201852416</v>
      </c>
      <c r="AA3898" s="1">
        <v>201850000</v>
      </c>
      <c r="AB3898" s="1">
        <v>34</v>
      </c>
    </row>
    <row r="3899" spans="1:28" x14ac:dyDescent="0.15">
      <c r="A3899" s="1">
        <v>9904</v>
      </c>
      <c r="L3899" s="1" t="s">
        <v>1781</v>
      </c>
      <c r="N3899" s="1" t="s">
        <v>1441</v>
      </c>
      <c r="P3899" s="1" t="s">
        <v>2346</v>
      </c>
      <c r="Q3899" s="3">
        <v>0</v>
      </c>
      <c r="S3899" s="23" t="s">
        <v>5949</v>
      </c>
      <c r="W3899" s="45" t="str">
        <f>HYPERLINK("http://ictvonline.org/taxonomy/p/taxonomy-history?taxnode_id=201852417","ICTVonline=201852417")</f>
        <v>ICTVonline=201852417</v>
      </c>
      <c r="AA3899" s="1">
        <v>201850000</v>
      </c>
      <c r="AB3899" s="1">
        <v>34</v>
      </c>
    </row>
    <row r="3900" spans="1:28" x14ac:dyDescent="0.15">
      <c r="A3900" s="1">
        <v>9906</v>
      </c>
      <c r="L3900" s="1" t="s">
        <v>1781</v>
      </c>
      <c r="N3900" s="1" t="s">
        <v>1441</v>
      </c>
      <c r="P3900" s="1" t="s">
        <v>2347</v>
      </c>
      <c r="Q3900" s="3">
        <v>0</v>
      </c>
      <c r="S3900" s="23" t="s">
        <v>5949</v>
      </c>
      <c r="W3900" s="45" t="str">
        <f>HYPERLINK("http://ictvonline.org/taxonomy/p/taxonomy-history?taxnode_id=201852418","ICTVonline=201852418")</f>
        <v>ICTVonline=201852418</v>
      </c>
      <c r="AA3900" s="1">
        <v>201850000</v>
      </c>
      <c r="AB3900" s="1">
        <v>34</v>
      </c>
    </row>
    <row r="3901" spans="1:28" x14ac:dyDescent="0.15">
      <c r="A3901" s="1">
        <v>9908</v>
      </c>
      <c r="L3901" s="1" t="s">
        <v>1781</v>
      </c>
      <c r="N3901" s="1" t="s">
        <v>1441</v>
      </c>
      <c r="P3901" s="1" t="s">
        <v>5232</v>
      </c>
      <c r="Q3901" s="3">
        <v>0</v>
      </c>
      <c r="S3901" s="23" t="s">
        <v>5949</v>
      </c>
      <c r="W3901" s="45" t="str">
        <f>HYPERLINK("http://ictvonline.org/taxonomy/p/taxonomy-history?taxnode_id=201855660","ICTVonline=201855660")</f>
        <v>ICTVonline=201855660</v>
      </c>
      <c r="AA3901" s="1">
        <v>201850000</v>
      </c>
      <c r="AB3901" s="1">
        <v>34</v>
      </c>
    </row>
    <row r="3902" spans="1:28" x14ac:dyDescent="0.15">
      <c r="A3902" s="1">
        <v>9910</v>
      </c>
      <c r="L3902" s="1" t="s">
        <v>1781</v>
      </c>
      <c r="N3902" s="1" t="s">
        <v>1441</v>
      </c>
      <c r="P3902" s="1" t="s">
        <v>4619</v>
      </c>
      <c r="Q3902" s="3">
        <v>0</v>
      </c>
      <c r="S3902" s="23" t="s">
        <v>5949</v>
      </c>
      <c r="W3902" s="45" t="str">
        <f>HYPERLINK("http://ictvonline.org/taxonomy/p/taxonomy-history?taxnode_id=201852419","ICTVonline=201852419")</f>
        <v>ICTVonline=201852419</v>
      </c>
      <c r="AA3902" s="1">
        <v>201850000</v>
      </c>
      <c r="AB3902" s="1">
        <v>34</v>
      </c>
    </row>
    <row r="3903" spans="1:28" x14ac:dyDescent="0.15">
      <c r="A3903" s="1">
        <v>9912</v>
      </c>
      <c r="L3903" s="1" t="s">
        <v>1781</v>
      </c>
      <c r="N3903" s="1" t="s">
        <v>1441</v>
      </c>
      <c r="P3903" s="1" t="s">
        <v>5233</v>
      </c>
      <c r="Q3903" s="3">
        <v>0</v>
      </c>
      <c r="S3903" s="23" t="s">
        <v>5949</v>
      </c>
      <c r="W3903" s="45" t="str">
        <f>HYPERLINK("http://ictvonline.org/taxonomy/p/taxonomy-history?taxnode_id=201855661","ICTVonline=201855661")</f>
        <v>ICTVonline=201855661</v>
      </c>
      <c r="AA3903" s="1">
        <v>201850000</v>
      </c>
      <c r="AB3903" s="1">
        <v>34</v>
      </c>
    </row>
    <row r="3904" spans="1:28" x14ac:dyDescent="0.15">
      <c r="A3904" s="1">
        <v>9914</v>
      </c>
      <c r="L3904" s="1" t="s">
        <v>1781</v>
      </c>
      <c r="N3904" s="1" t="s">
        <v>1441</v>
      </c>
      <c r="P3904" s="1" t="s">
        <v>2348</v>
      </c>
      <c r="Q3904" s="3">
        <v>0</v>
      </c>
      <c r="S3904" s="23" t="s">
        <v>5949</v>
      </c>
      <c r="W3904" s="45" t="str">
        <f>HYPERLINK("http://ictvonline.org/taxonomy/p/taxonomy-history?taxnode_id=201852420","ICTVonline=201852420")</f>
        <v>ICTVonline=201852420</v>
      </c>
      <c r="AA3904" s="1">
        <v>201850000</v>
      </c>
      <c r="AB3904" s="1">
        <v>34</v>
      </c>
    </row>
    <row r="3905" spans="1:28" x14ac:dyDescent="0.15">
      <c r="A3905" s="1">
        <v>9916</v>
      </c>
      <c r="L3905" s="1" t="s">
        <v>1781</v>
      </c>
      <c r="N3905" s="1" t="s">
        <v>1441</v>
      </c>
      <c r="P3905" s="1" t="s">
        <v>2349</v>
      </c>
      <c r="Q3905" s="3">
        <v>0</v>
      </c>
      <c r="S3905" s="23" t="s">
        <v>5949</v>
      </c>
      <c r="W3905" s="45" t="str">
        <f>HYPERLINK("http://ictvonline.org/taxonomy/p/taxonomy-history?taxnode_id=201852421","ICTVonline=201852421")</f>
        <v>ICTVonline=201852421</v>
      </c>
      <c r="AA3905" s="1">
        <v>201850000</v>
      </c>
      <c r="AB3905" s="1">
        <v>34</v>
      </c>
    </row>
    <row r="3906" spans="1:28" x14ac:dyDescent="0.15">
      <c r="A3906" s="1">
        <v>9918</v>
      </c>
      <c r="L3906" s="1" t="s">
        <v>1781</v>
      </c>
      <c r="N3906" s="1" t="s">
        <v>1441</v>
      </c>
      <c r="P3906" s="1" t="s">
        <v>2350</v>
      </c>
      <c r="Q3906" s="3">
        <v>0</v>
      </c>
      <c r="S3906" s="23" t="s">
        <v>5949</v>
      </c>
      <c r="W3906" s="45" t="str">
        <f>HYPERLINK("http://ictvonline.org/taxonomy/p/taxonomy-history?taxnode_id=201852422","ICTVonline=201852422")</f>
        <v>ICTVonline=201852422</v>
      </c>
      <c r="AA3906" s="1">
        <v>201850000</v>
      </c>
      <c r="AB3906" s="1">
        <v>34</v>
      </c>
    </row>
    <row r="3907" spans="1:28" x14ac:dyDescent="0.15">
      <c r="A3907" s="1">
        <v>9920</v>
      </c>
      <c r="L3907" s="1" t="s">
        <v>1781</v>
      </c>
      <c r="N3907" s="1" t="s">
        <v>1441</v>
      </c>
      <c r="P3907" s="1" t="s">
        <v>2351</v>
      </c>
      <c r="Q3907" s="3">
        <v>0</v>
      </c>
      <c r="S3907" s="23" t="s">
        <v>5949</v>
      </c>
      <c r="W3907" s="45" t="str">
        <f>HYPERLINK("http://ictvonline.org/taxonomy/p/taxonomy-history?taxnode_id=201852423","ICTVonline=201852423")</f>
        <v>ICTVonline=201852423</v>
      </c>
      <c r="AA3907" s="1">
        <v>201850000</v>
      </c>
      <c r="AB3907" s="1">
        <v>34</v>
      </c>
    </row>
    <row r="3908" spans="1:28" x14ac:dyDescent="0.15">
      <c r="A3908" s="1">
        <v>9922</v>
      </c>
      <c r="L3908" s="1" t="s">
        <v>1781</v>
      </c>
      <c r="N3908" s="1" t="s">
        <v>1441</v>
      </c>
      <c r="P3908" s="1" t="s">
        <v>2352</v>
      </c>
      <c r="Q3908" s="3">
        <v>1</v>
      </c>
      <c r="S3908" s="23" t="s">
        <v>5949</v>
      </c>
      <c r="W3908" s="45" t="str">
        <f>HYPERLINK("http://ictvonline.org/taxonomy/p/taxonomy-history?taxnode_id=201852424","ICTVonline=201852424")</f>
        <v>ICTVonline=201852424</v>
      </c>
      <c r="AA3908" s="1">
        <v>201850000</v>
      </c>
      <c r="AB3908" s="1">
        <v>34</v>
      </c>
    </row>
    <row r="3909" spans="1:28" x14ac:dyDescent="0.15">
      <c r="A3909" s="1">
        <v>9924</v>
      </c>
      <c r="L3909" s="1" t="s">
        <v>1781</v>
      </c>
      <c r="N3909" s="1" t="s">
        <v>1441</v>
      </c>
      <c r="P3909" s="1" t="s">
        <v>2353</v>
      </c>
      <c r="Q3909" s="3">
        <v>0</v>
      </c>
      <c r="S3909" s="23" t="s">
        <v>5949</v>
      </c>
      <c r="W3909" s="45" t="str">
        <f>HYPERLINK("http://ictvonline.org/taxonomy/p/taxonomy-history?taxnode_id=201852425","ICTVonline=201852425")</f>
        <v>ICTVonline=201852425</v>
      </c>
      <c r="AA3909" s="1">
        <v>201850000</v>
      </c>
      <c r="AB3909" s="1">
        <v>34</v>
      </c>
    </row>
    <row r="3910" spans="1:28" x14ac:dyDescent="0.15">
      <c r="A3910" s="1">
        <v>9926</v>
      </c>
      <c r="L3910" s="1" t="s">
        <v>1781</v>
      </c>
      <c r="N3910" s="1" t="s">
        <v>1441</v>
      </c>
      <c r="P3910" s="1" t="s">
        <v>2354</v>
      </c>
      <c r="Q3910" s="3">
        <v>0</v>
      </c>
      <c r="S3910" s="23" t="s">
        <v>5949</v>
      </c>
      <c r="W3910" s="45" t="str">
        <f>HYPERLINK("http://ictvonline.org/taxonomy/p/taxonomy-history?taxnode_id=201852426","ICTVonline=201852426")</f>
        <v>ICTVonline=201852426</v>
      </c>
      <c r="AA3910" s="1">
        <v>201850000</v>
      </c>
      <c r="AB3910" s="1">
        <v>34</v>
      </c>
    </row>
    <row r="3911" spans="1:28" x14ac:dyDescent="0.15">
      <c r="A3911" s="1">
        <v>9928</v>
      </c>
      <c r="L3911" s="1" t="s">
        <v>1781</v>
      </c>
      <c r="N3911" s="1" t="s">
        <v>1441</v>
      </c>
      <c r="P3911" s="1" t="s">
        <v>2355</v>
      </c>
      <c r="Q3911" s="3">
        <v>0</v>
      </c>
      <c r="S3911" s="23" t="s">
        <v>5949</v>
      </c>
      <c r="W3911" s="45" t="str">
        <f>HYPERLINK("http://ictvonline.org/taxonomy/p/taxonomy-history?taxnode_id=201852427","ICTVonline=201852427")</f>
        <v>ICTVonline=201852427</v>
      </c>
      <c r="AA3911" s="1">
        <v>201850000</v>
      </c>
      <c r="AB3911" s="1">
        <v>34</v>
      </c>
    </row>
    <row r="3912" spans="1:28" x14ac:dyDescent="0.15">
      <c r="A3912" s="1">
        <v>9930</v>
      </c>
      <c r="L3912" s="1" t="s">
        <v>1781</v>
      </c>
      <c r="N3912" s="1" t="s">
        <v>1441</v>
      </c>
      <c r="P3912" s="1" t="s">
        <v>2356</v>
      </c>
      <c r="Q3912" s="3">
        <v>0</v>
      </c>
      <c r="S3912" s="23" t="s">
        <v>5949</v>
      </c>
      <c r="W3912" s="45" t="str">
        <f>HYPERLINK("http://ictvonline.org/taxonomy/p/taxonomy-history?taxnode_id=201852428","ICTVonline=201852428")</f>
        <v>ICTVonline=201852428</v>
      </c>
      <c r="AA3912" s="1">
        <v>201850000</v>
      </c>
      <c r="AB3912" s="1">
        <v>34</v>
      </c>
    </row>
    <row r="3913" spans="1:28" x14ac:dyDescent="0.15">
      <c r="A3913" s="1">
        <v>9932</v>
      </c>
      <c r="L3913" s="1" t="s">
        <v>1781</v>
      </c>
      <c r="N3913" s="1" t="s">
        <v>1441</v>
      </c>
      <c r="P3913" s="1" t="s">
        <v>2357</v>
      </c>
      <c r="Q3913" s="3">
        <v>0</v>
      </c>
      <c r="S3913" s="23" t="s">
        <v>5949</v>
      </c>
      <c r="W3913" s="45" t="str">
        <f>HYPERLINK("http://ictvonline.org/taxonomy/p/taxonomy-history?taxnode_id=201852429","ICTVonline=201852429")</f>
        <v>ICTVonline=201852429</v>
      </c>
      <c r="AA3913" s="1">
        <v>201850000</v>
      </c>
      <c r="AB3913" s="1">
        <v>34</v>
      </c>
    </row>
    <row r="3914" spans="1:28" x14ac:dyDescent="0.15">
      <c r="A3914" s="1">
        <v>9934</v>
      </c>
      <c r="L3914" s="1" t="s">
        <v>1781</v>
      </c>
      <c r="N3914" s="1" t="s">
        <v>1441</v>
      </c>
      <c r="P3914" s="1" t="s">
        <v>2358</v>
      </c>
      <c r="Q3914" s="3">
        <v>0</v>
      </c>
      <c r="S3914" s="23" t="s">
        <v>5949</v>
      </c>
      <c r="W3914" s="45" t="str">
        <f>HYPERLINK("http://ictvonline.org/taxonomy/p/taxonomy-history?taxnode_id=201852430","ICTVonline=201852430")</f>
        <v>ICTVonline=201852430</v>
      </c>
      <c r="AA3914" s="1">
        <v>201850000</v>
      </c>
      <c r="AB3914" s="1">
        <v>34</v>
      </c>
    </row>
    <row r="3915" spans="1:28" x14ac:dyDescent="0.15">
      <c r="A3915" s="1">
        <v>9936</v>
      </c>
      <c r="L3915" s="1" t="s">
        <v>1781</v>
      </c>
      <c r="N3915" s="1" t="s">
        <v>1441</v>
      </c>
      <c r="P3915" s="1" t="s">
        <v>2359</v>
      </c>
      <c r="Q3915" s="3">
        <v>0</v>
      </c>
      <c r="S3915" s="23" t="s">
        <v>5949</v>
      </c>
      <c r="W3915" s="45" t="str">
        <f>HYPERLINK("http://ictvonline.org/taxonomy/p/taxonomy-history?taxnode_id=201852431","ICTVonline=201852431")</f>
        <v>ICTVonline=201852431</v>
      </c>
      <c r="AA3915" s="1">
        <v>201850000</v>
      </c>
      <c r="AB3915" s="1">
        <v>34</v>
      </c>
    </row>
    <row r="3916" spans="1:28" x14ac:dyDescent="0.15">
      <c r="A3916" s="1">
        <v>9938</v>
      </c>
      <c r="L3916" s="1" t="s">
        <v>1781</v>
      </c>
      <c r="N3916" s="1" t="s">
        <v>1441</v>
      </c>
      <c r="P3916" s="1" t="s">
        <v>2360</v>
      </c>
      <c r="Q3916" s="3">
        <v>0</v>
      </c>
      <c r="S3916" s="23" t="s">
        <v>5949</v>
      </c>
      <c r="W3916" s="45" t="str">
        <f>HYPERLINK("http://ictvonline.org/taxonomy/p/taxonomy-history?taxnode_id=201852432","ICTVonline=201852432")</f>
        <v>ICTVonline=201852432</v>
      </c>
      <c r="AA3916" s="1">
        <v>201850000</v>
      </c>
      <c r="AB3916" s="1">
        <v>34</v>
      </c>
    </row>
    <row r="3917" spans="1:28" x14ac:dyDescent="0.15">
      <c r="A3917" s="1">
        <v>9940</v>
      </c>
      <c r="L3917" s="1" t="s">
        <v>1781</v>
      </c>
      <c r="N3917" s="1" t="s">
        <v>1441</v>
      </c>
      <c r="P3917" s="1" t="s">
        <v>2361</v>
      </c>
      <c r="Q3917" s="3">
        <v>0</v>
      </c>
      <c r="S3917" s="23" t="s">
        <v>5949</v>
      </c>
      <c r="W3917" s="45" t="str">
        <f>HYPERLINK("http://ictvonline.org/taxonomy/p/taxonomy-history?taxnode_id=201852433","ICTVonline=201852433")</f>
        <v>ICTVonline=201852433</v>
      </c>
      <c r="AA3917" s="1">
        <v>201850000</v>
      </c>
      <c r="AB3917" s="1">
        <v>34</v>
      </c>
    </row>
    <row r="3918" spans="1:28" x14ac:dyDescent="0.15">
      <c r="A3918" s="1">
        <v>9942</v>
      </c>
      <c r="L3918" s="1" t="s">
        <v>1781</v>
      </c>
      <c r="N3918" s="1" t="s">
        <v>1441</v>
      </c>
      <c r="P3918" s="1" t="s">
        <v>4620</v>
      </c>
      <c r="Q3918" s="3">
        <v>0</v>
      </c>
      <c r="S3918" s="23" t="s">
        <v>5949</v>
      </c>
      <c r="W3918" s="45" t="str">
        <f>HYPERLINK("http://ictvonline.org/taxonomy/p/taxonomy-history?taxnode_id=201852434","ICTVonline=201852434")</f>
        <v>ICTVonline=201852434</v>
      </c>
      <c r="AA3918" s="1">
        <v>201850000</v>
      </c>
      <c r="AB3918" s="1">
        <v>34</v>
      </c>
    </row>
    <row r="3919" spans="1:28" x14ac:dyDescent="0.15">
      <c r="A3919" s="1">
        <v>9944</v>
      </c>
      <c r="L3919" s="1" t="s">
        <v>1781</v>
      </c>
      <c r="N3919" s="1" t="s">
        <v>1441</v>
      </c>
      <c r="P3919" s="1" t="s">
        <v>2362</v>
      </c>
      <c r="Q3919" s="3">
        <v>0</v>
      </c>
      <c r="S3919" s="23" t="s">
        <v>5949</v>
      </c>
      <c r="W3919" s="45" t="str">
        <f>HYPERLINK("http://ictvonline.org/taxonomy/p/taxonomy-history?taxnode_id=201852435","ICTVonline=201852435")</f>
        <v>ICTVonline=201852435</v>
      </c>
      <c r="AA3919" s="1">
        <v>201850000</v>
      </c>
      <c r="AB3919" s="1">
        <v>34</v>
      </c>
    </row>
    <row r="3920" spans="1:28" x14ac:dyDescent="0.15">
      <c r="A3920" s="1">
        <v>9946</v>
      </c>
      <c r="L3920" s="1" t="s">
        <v>1781</v>
      </c>
      <c r="N3920" s="1" t="s">
        <v>1441</v>
      </c>
      <c r="P3920" s="1" t="s">
        <v>2363</v>
      </c>
      <c r="Q3920" s="3">
        <v>0</v>
      </c>
      <c r="S3920" s="23" t="s">
        <v>5949</v>
      </c>
      <c r="W3920" s="45" t="str">
        <f>HYPERLINK("http://ictvonline.org/taxonomy/p/taxonomy-history?taxnode_id=201852436","ICTVonline=201852436")</f>
        <v>ICTVonline=201852436</v>
      </c>
      <c r="AA3920" s="1">
        <v>201850000</v>
      </c>
      <c r="AB3920" s="1">
        <v>34</v>
      </c>
    </row>
    <row r="3921" spans="1:28" x14ac:dyDescent="0.15">
      <c r="A3921" s="1">
        <v>9948</v>
      </c>
      <c r="L3921" s="1" t="s">
        <v>1781</v>
      </c>
      <c r="N3921" s="1" t="s">
        <v>1441</v>
      </c>
      <c r="P3921" s="1" t="s">
        <v>2364</v>
      </c>
      <c r="Q3921" s="3">
        <v>0</v>
      </c>
      <c r="S3921" s="23" t="s">
        <v>5949</v>
      </c>
      <c r="W3921" s="45" t="str">
        <f>HYPERLINK("http://ictvonline.org/taxonomy/p/taxonomy-history?taxnode_id=201852437","ICTVonline=201852437")</f>
        <v>ICTVonline=201852437</v>
      </c>
      <c r="AA3921" s="1">
        <v>201850000</v>
      </c>
      <c r="AB3921" s="1">
        <v>34</v>
      </c>
    </row>
    <row r="3922" spans="1:28" x14ac:dyDescent="0.15">
      <c r="A3922" s="1">
        <v>9950</v>
      </c>
      <c r="L3922" s="1" t="s">
        <v>1781</v>
      </c>
      <c r="N3922" s="1" t="s">
        <v>1441</v>
      </c>
      <c r="P3922" s="1" t="s">
        <v>4621</v>
      </c>
      <c r="Q3922" s="3">
        <v>0</v>
      </c>
      <c r="S3922" s="23" t="s">
        <v>5949</v>
      </c>
      <c r="W3922" s="45" t="str">
        <f>HYPERLINK("http://ictvonline.org/taxonomy/p/taxonomy-history?taxnode_id=201852438","ICTVonline=201852438")</f>
        <v>ICTVonline=201852438</v>
      </c>
      <c r="AA3922" s="1">
        <v>201850000</v>
      </c>
      <c r="AB3922" s="1">
        <v>34</v>
      </c>
    </row>
    <row r="3923" spans="1:28" x14ac:dyDescent="0.15">
      <c r="A3923" s="1">
        <v>9952</v>
      </c>
      <c r="L3923" s="1" t="s">
        <v>1781</v>
      </c>
      <c r="N3923" s="1" t="s">
        <v>1441</v>
      </c>
      <c r="P3923" s="1" t="s">
        <v>2365</v>
      </c>
      <c r="Q3923" s="3">
        <v>0</v>
      </c>
      <c r="S3923" s="23" t="s">
        <v>5949</v>
      </c>
      <c r="W3923" s="45" t="str">
        <f>HYPERLINK("http://ictvonline.org/taxonomy/p/taxonomy-history?taxnode_id=201852439","ICTVonline=201852439")</f>
        <v>ICTVonline=201852439</v>
      </c>
      <c r="AA3923" s="1">
        <v>201850000</v>
      </c>
      <c r="AB3923" s="1">
        <v>34</v>
      </c>
    </row>
    <row r="3924" spans="1:28" x14ac:dyDescent="0.15">
      <c r="A3924" s="1">
        <v>9954</v>
      </c>
      <c r="L3924" s="1" t="s">
        <v>1781</v>
      </c>
      <c r="N3924" s="1" t="s">
        <v>1441</v>
      </c>
      <c r="P3924" s="1" t="s">
        <v>3678</v>
      </c>
      <c r="Q3924" s="3">
        <v>0</v>
      </c>
      <c r="S3924" s="23" t="s">
        <v>5949</v>
      </c>
      <c r="W3924" s="45" t="str">
        <f>HYPERLINK("http://ictvonline.org/taxonomy/p/taxonomy-history?taxnode_id=201852440","ICTVonline=201852440")</f>
        <v>ICTVonline=201852440</v>
      </c>
      <c r="AA3924" s="1">
        <v>201850000</v>
      </c>
      <c r="AB3924" s="1">
        <v>34</v>
      </c>
    </row>
    <row r="3925" spans="1:28" x14ac:dyDescent="0.15">
      <c r="A3925" s="1">
        <v>9956</v>
      </c>
      <c r="L3925" s="1" t="s">
        <v>1781</v>
      </c>
      <c r="N3925" s="1" t="s">
        <v>1441</v>
      </c>
      <c r="P3925" s="1" t="s">
        <v>3679</v>
      </c>
      <c r="Q3925" s="3">
        <v>0</v>
      </c>
      <c r="S3925" s="23" t="s">
        <v>5949</v>
      </c>
      <c r="W3925" s="45" t="str">
        <f>HYPERLINK("http://ictvonline.org/taxonomy/p/taxonomy-history?taxnode_id=201852441","ICTVonline=201852441")</f>
        <v>ICTVonline=201852441</v>
      </c>
      <c r="AA3925" s="1">
        <v>201850000</v>
      </c>
      <c r="AB3925" s="1">
        <v>34</v>
      </c>
    </row>
    <row r="3926" spans="1:28" x14ac:dyDescent="0.15">
      <c r="A3926" s="1">
        <v>9958</v>
      </c>
      <c r="L3926" s="1" t="s">
        <v>1781</v>
      </c>
      <c r="N3926" s="1" t="s">
        <v>1441</v>
      </c>
      <c r="P3926" s="1" t="s">
        <v>4622</v>
      </c>
      <c r="Q3926" s="3">
        <v>0</v>
      </c>
      <c r="S3926" s="23" t="s">
        <v>5949</v>
      </c>
      <c r="W3926" s="45" t="str">
        <f>HYPERLINK("http://ictvonline.org/taxonomy/p/taxonomy-history?taxnode_id=201852442","ICTVonline=201852442")</f>
        <v>ICTVonline=201852442</v>
      </c>
      <c r="AA3926" s="1">
        <v>201850000</v>
      </c>
      <c r="AB3926" s="1">
        <v>34</v>
      </c>
    </row>
    <row r="3927" spans="1:28" x14ac:dyDescent="0.15">
      <c r="A3927" s="1">
        <v>9960</v>
      </c>
      <c r="L3927" s="1" t="s">
        <v>1781</v>
      </c>
      <c r="N3927" s="1" t="s">
        <v>1441</v>
      </c>
      <c r="P3927" s="1" t="s">
        <v>4623</v>
      </c>
      <c r="Q3927" s="3">
        <v>0</v>
      </c>
      <c r="S3927" s="23" t="s">
        <v>5949</v>
      </c>
      <c r="W3927" s="45" t="str">
        <f>HYPERLINK("http://ictvonline.org/taxonomy/p/taxonomy-history?taxnode_id=201852443","ICTVonline=201852443")</f>
        <v>ICTVonline=201852443</v>
      </c>
      <c r="AA3927" s="1">
        <v>201850000</v>
      </c>
      <c r="AB3927" s="1">
        <v>34</v>
      </c>
    </row>
    <row r="3928" spans="1:28" x14ac:dyDescent="0.15">
      <c r="A3928" s="1">
        <v>9962</v>
      </c>
      <c r="L3928" s="1" t="s">
        <v>1781</v>
      </c>
      <c r="N3928" s="1" t="s">
        <v>1441</v>
      </c>
      <c r="P3928" s="1" t="s">
        <v>4624</v>
      </c>
      <c r="Q3928" s="3">
        <v>0</v>
      </c>
      <c r="S3928" s="23" t="s">
        <v>5949</v>
      </c>
      <c r="W3928" s="45" t="str">
        <f>HYPERLINK("http://ictvonline.org/taxonomy/p/taxonomy-history?taxnode_id=201852444","ICTVonline=201852444")</f>
        <v>ICTVonline=201852444</v>
      </c>
      <c r="AA3928" s="1">
        <v>201850000</v>
      </c>
      <c r="AB3928" s="1">
        <v>34</v>
      </c>
    </row>
    <row r="3929" spans="1:28" x14ac:dyDescent="0.15">
      <c r="A3929" s="1">
        <v>9964</v>
      </c>
      <c r="L3929" s="1" t="s">
        <v>1781</v>
      </c>
      <c r="N3929" s="1" t="s">
        <v>1441</v>
      </c>
      <c r="P3929" s="1" t="s">
        <v>4625</v>
      </c>
      <c r="Q3929" s="3">
        <v>0</v>
      </c>
      <c r="S3929" s="23" t="s">
        <v>5949</v>
      </c>
      <c r="W3929" s="45" t="str">
        <f>HYPERLINK("http://ictvonline.org/taxonomy/p/taxonomy-history?taxnode_id=201852445","ICTVonline=201852445")</f>
        <v>ICTVonline=201852445</v>
      </c>
      <c r="AA3929" s="1">
        <v>201850000</v>
      </c>
      <c r="AB3929" s="1">
        <v>34</v>
      </c>
    </row>
    <row r="3930" spans="1:28" x14ac:dyDescent="0.15">
      <c r="A3930" s="1">
        <v>9966</v>
      </c>
      <c r="L3930" s="1" t="s">
        <v>1781</v>
      </c>
      <c r="N3930" s="1" t="s">
        <v>1441</v>
      </c>
      <c r="P3930" s="1" t="s">
        <v>4626</v>
      </c>
      <c r="Q3930" s="3">
        <v>0</v>
      </c>
      <c r="S3930" s="23" t="s">
        <v>5949</v>
      </c>
      <c r="W3930" s="45" t="str">
        <f>HYPERLINK("http://ictvonline.org/taxonomy/p/taxonomy-history?taxnode_id=201852446","ICTVonline=201852446")</f>
        <v>ICTVonline=201852446</v>
      </c>
      <c r="AA3930" s="1">
        <v>201850000</v>
      </c>
      <c r="AB3930" s="1">
        <v>34</v>
      </c>
    </row>
    <row r="3931" spans="1:28" x14ac:dyDescent="0.15">
      <c r="A3931" s="1">
        <v>9968</v>
      </c>
      <c r="L3931" s="1" t="s">
        <v>1781</v>
      </c>
      <c r="N3931" s="1" t="s">
        <v>1441</v>
      </c>
      <c r="P3931" s="1" t="s">
        <v>5234</v>
      </c>
      <c r="Q3931" s="3">
        <v>0</v>
      </c>
      <c r="S3931" s="23" t="s">
        <v>5949</v>
      </c>
      <c r="W3931" s="45" t="str">
        <f>HYPERLINK("http://ictvonline.org/taxonomy/p/taxonomy-history?taxnode_id=201855662","ICTVonline=201855662")</f>
        <v>ICTVonline=201855662</v>
      </c>
      <c r="AA3931" s="1">
        <v>201850000</v>
      </c>
      <c r="AB3931" s="1">
        <v>34</v>
      </c>
    </row>
    <row r="3932" spans="1:28" x14ac:dyDescent="0.15">
      <c r="A3932" s="1">
        <v>9970</v>
      </c>
      <c r="L3932" s="1" t="s">
        <v>1781</v>
      </c>
      <c r="N3932" s="1" t="s">
        <v>1441</v>
      </c>
      <c r="P3932" s="1" t="s">
        <v>4627</v>
      </c>
      <c r="Q3932" s="3">
        <v>0</v>
      </c>
      <c r="S3932" s="23" t="s">
        <v>5949</v>
      </c>
      <c r="W3932" s="45" t="str">
        <f>HYPERLINK("http://ictvonline.org/taxonomy/p/taxonomy-history?taxnode_id=201852447","ICTVonline=201852447")</f>
        <v>ICTVonline=201852447</v>
      </c>
      <c r="AA3932" s="1">
        <v>201850000</v>
      </c>
      <c r="AB3932" s="1">
        <v>34</v>
      </c>
    </row>
    <row r="3933" spans="1:28" x14ac:dyDescent="0.15">
      <c r="A3933" s="1">
        <v>9972</v>
      </c>
      <c r="L3933" s="1" t="s">
        <v>1781</v>
      </c>
      <c r="N3933" s="1" t="s">
        <v>1441</v>
      </c>
      <c r="P3933" s="1" t="s">
        <v>5235</v>
      </c>
      <c r="Q3933" s="3">
        <v>0</v>
      </c>
      <c r="S3933" s="23" t="s">
        <v>5949</v>
      </c>
      <c r="W3933" s="45" t="str">
        <f>HYPERLINK("http://ictvonline.org/taxonomy/p/taxonomy-history?taxnode_id=201855663","ICTVonline=201855663")</f>
        <v>ICTVonline=201855663</v>
      </c>
      <c r="AA3933" s="1">
        <v>201850000</v>
      </c>
      <c r="AB3933" s="1">
        <v>34</v>
      </c>
    </row>
    <row r="3934" spans="1:28" x14ac:dyDescent="0.15">
      <c r="A3934" s="1">
        <v>9974</v>
      </c>
      <c r="L3934" s="1" t="s">
        <v>1781</v>
      </c>
      <c r="N3934" s="1" t="s">
        <v>1441</v>
      </c>
      <c r="P3934" s="1" t="s">
        <v>2366</v>
      </c>
      <c r="Q3934" s="3">
        <v>0</v>
      </c>
      <c r="S3934" s="23" t="s">
        <v>5949</v>
      </c>
      <c r="W3934" s="45" t="str">
        <f>HYPERLINK("http://ictvonline.org/taxonomy/p/taxonomy-history?taxnode_id=201852448","ICTVonline=201852448")</f>
        <v>ICTVonline=201852448</v>
      </c>
      <c r="AA3934" s="1">
        <v>201850000</v>
      </c>
      <c r="AB3934" s="1">
        <v>34</v>
      </c>
    </row>
    <row r="3935" spans="1:28" x14ac:dyDescent="0.15">
      <c r="A3935" s="1">
        <v>9978</v>
      </c>
      <c r="L3935" s="1" t="s">
        <v>1781</v>
      </c>
      <c r="N3935" s="1" t="s">
        <v>682</v>
      </c>
      <c r="P3935" s="1" t="s">
        <v>2367</v>
      </c>
      <c r="Q3935" s="3">
        <v>1</v>
      </c>
      <c r="S3935" s="23" t="s">
        <v>5949</v>
      </c>
      <c r="W3935" s="45" t="str">
        <f>HYPERLINK("http://ictvonline.org/taxonomy/p/taxonomy-history?taxnode_id=201852450","ICTVonline=201852450")</f>
        <v>ICTVonline=201852450</v>
      </c>
      <c r="AA3935" s="1">
        <v>201850000</v>
      </c>
      <c r="AB3935" s="1">
        <v>34</v>
      </c>
    </row>
    <row r="3936" spans="1:28" x14ac:dyDescent="0.15">
      <c r="A3936" s="1">
        <v>9980</v>
      </c>
      <c r="L3936" s="1" t="s">
        <v>1781</v>
      </c>
      <c r="N3936" s="1" t="s">
        <v>682</v>
      </c>
      <c r="P3936" s="1" t="s">
        <v>2368</v>
      </c>
      <c r="Q3936" s="3">
        <v>0</v>
      </c>
      <c r="S3936" s="23" t="s">
        <v>5949</v>
      </c>
      <c r="W3936" s="45" t="str">
        <f>HYPERLINK("http://ictvonline.org/taxonomy/p/taxonomy-history?taxnode_id=201852451","ICTVonline=201852451")</f>
        <v>ICTVonline=201852451</v>
      </c>
      <c r="AA3936" s="1">
        <v>201850000</v>
      </c>
      <c r="AB3936" s="1">
        <v>34</v>
      </c>
    </row>
    <row r="3937" spans="1:28" x14ac:dyDescent="0.15">
      <c r="A3937" s="1">
        <v>9982</v>
      </c>
      <c r="L3937" s="1" t="s">
        <v>1781</v>
      </c>
      <c r="N3937" s="1" t="s">
        <v>682</v>
      </c>
      <c r="P3937" s="1" t="s">
        <v>4628</v>
      </c>
      <c r="Q3937" s="3">
        <v>0</v>
      </c>
      <c r="S3937" s="23" t="s">
        <v>5949</v>
      </c>
      <c r="W3937" s="45" t="str">
        <f>HYPERLINK("http://ictvonline.org/taxonomy/p/taxonomy-history?taxnode_id=201852452","ICTVonline=201852452")</f>
        <v>ICTVonline=201852452</v>
      </c>
      <c r="AA3937" s="1">
        <v>201850000</v>
      </c>
      <c r="AB3937" s="1">
        <v>34</v>
      </c>
    </row>
    <row r="3938" spans="1:28" x14ac:dyDescent="0.15">
      <c r="A3938" s="1">
        <v>9984</v>
      </c>
      <c r="L3938" s="1" t="s">
        <v>1781</v>
      </c>
      <c r="N3938" s="1" t="s">
        <v>682</v>
      </c>
      <c r="P3938" s="1" t="s">
        <v>2369</v>
      </c>
      <c r="Q3938" s="3">
        <v>0</v>
      </c>
      <c r="S3938" s="23" t="s">
        <v>5949</v>
      </c>
      <c r="W3938" s="45" t="str">
        <f>HYPERLINK("http://ictvonline.org/taxonomy/p/taxonomy-history?taxnode_id=201852453","ICTVonline=201852453")</f>
        <v>ICTVonline=201852453</v>
      </c>
      <c r="AA3938" s="1">
        <v>201850000</v>
      </c>
      <c r="AB3938" s="1">
        <v>34</v>
      </c>
    </row>
    <row r="3939" spans="1:28" x14ac:dyDescent="0.15">
      <c r="A3939" s="1">
        <v>9986</v>
      </c>
      <c r="L3939" s="1" t="s">
        <v>1781</v>
      </c>
      <c r="N3939" s="1" t="s">
        <v>682</v>
      </c>
      <c r="P3939" s="1" t="s">
        <v>2370</v>
      </c>
      <c r="Q3939" s="3">
        <v>0</v>
      </c>
      <c r="S3939" s="23" t="s">
        <v>5949</v>
      </c>
      <c r="W3939" s="45" t="str">
        <f>HYPERLINK("http://ictvonline.org/taxonomy/p/taxonomy-history?taxnode_id=201852454","ICTVonline=201852454")</f>
        <v>ICTVonline=201852454</v>
      </c>
      <c r="AA3939" s="1">
        <v>201850000</v>
      </c>
      <c r="AB3939" s="1">
        <v>34</v>
      </c>
    </row>
    <row r="3940" spans="1:28" x14ac:dyDescent="0.15">
      <c r="A3940" s="1">
        <v>9988</v>
      </c>
      <c r="L3940" s="1" t="s">
        <v>1781</v>
      </c>
      <c r="N3940" s="1" t="s">
        <v>682</v>
      </c>
      <c r="P3940" s="1" t="s">
        <v>2371</v>
      </c>
      <c r="Q3940" s="3">
        <v>0</v>
      </c>
      <c r="S3940" s="23" t="s">
        <v>5949</v>
      </c>
      <c r="W3940" s="45" t="str">
        <f>HYPERLINK("http://ictvonline.org/taxonomy/p/taxonomy-history?taxnode_id=201852455","ICTVonline=201852455")</f>
        <v>ICTVonline=201852455</v>
      </c>
      <c r="AA3940" s="1">
        <v>201850000</v>
      </c>
      <c r="AB3940" s="1">
        <v>34</v>
      </c>
    </row>
    <row r="3941" spans="1:28" x14ac:dyDescent="0.15">
      <c r="A3941" s="1">
        <v>9995</v>
      </c>
      <c r="L3941" s="1" t="s">
        <v>5236</v>
      </c>
      <c r="M3941" s="1" t="s">
        <v>5237</v>
      </c>
      <c r="N3941" s="1" t="s">
        <v>5238</v>
      </c>
      <c r="P3941" s="1" t="s">
        <v>5239</v>
      </c>
      <c r="Q3941" s="3">
        <v>1</v>
      </c>
      <c r="S3941" s="23" t="s">
        <v>5949</v>
      </c>
      <c r="W3941" s="45" t="str">
        <f>HYPERLINK("http://ictvonline.org/taxonomy/p/taxonomy-history?taxnode_id=201856012","ICTVonline=201856012")</f>
        <v>ICTVonline=201856012</v>
      </c>
      <c r="AA3941" s="1">
        <v>201850000</v>
      </c>
      <c r="AB3941" s="1">
        <v>34</v>
      </c>
    </row>
    <row r="3942" spans="1:28" x14ac:dyDescent="0.15">
      <c r="A3942" s="1">
        <v>9997</v>
      </c>
      <c r="L3942" s="1" t="s">
        <v>5236</v>
      </c>
      <c r="M3942" s="1" t="s">
        <v>5237</v>
      </c>
      <c r="N3942" s="1" t="s">
        <v>5238</v>
      </c>
      <c r="P3942" s="1" t="s">
        <v>5240</v>
      </c>
      <c r="Q3942" s="3">
        <v>0</v>
      </c>
      <c r="S3942" s="23" t="s">
        <v>5949</v>
      </c>
      <c r="W3942" s="45" t="str">
        <f>HYPERLINK("http://ictvonline.org/taxonomy/p/taxonomy-history?taxnode_id=201855664","ICTVonline=201855664")</f>
        <v>ICTVonline=201855664</v>
      </c>
      <c r="AA3942" s="1">
        <v>201850000</v>
      </c>
      <c r="AB3942" s="1">
        <v>34</v>
      </c>
    </row>
    <row r="3943" spans="1:28" x14ac:dyDescent="0.15">
      <c r="A3943" s="1">
        <v>10001</v>
      </c>
      <c r="L3943" s="1" t="s">
        <v>5236</v>
      </c>
      <c r="M3943" s="1" t="s">
        <v>5237</v>
      </c>
      <c r="N3943" s="1" t="s">
        <v>5241</v>
      </c>
      <c r="P3943" s="1" t="s">
        <v>5242</v>
      </c>
      <c r="Q3943" s="3">
        <v>1</v>
      </c>
      <c r="S3943" s="23" t="s">
        <v>5949</v>
      </c>
      <c r="W3943" s="45" t="str">
        <f>HYPERLINK("http://ictvonline.org/taxonomy/p/taxonomy-history?taxnode_id=201855666","ICTVonline=201855666")</f>
        <v>ICTVonline=201855666</v>
      </c>
      <c r="AA3943" s="1">
        <v>201850000</v>
      </c>
      <c r="AB3943" s="1">
        <v>34</v>
      </c>
    </row>
    <row r="3944" spans="1:28" x14ac:dyDescent="0.15">
      <c r="A3944" s="1">
        <v>10003</v>
      </c>
      <c r="L3944" s="1" t="s">
        <v>5236</v>
      </c>
      <c r="M3944" s="1" t="s">
        <v>5237</v>
      </c>
      <c r="N3944" s="1" t="s">
        <v>5241</v>
      </c>
      <c r="P3944" s="1" t="s">
        <v>5243</v>
      </c>
      <c r="Q3944" s="3">
        <v>0</v>
      </c>
      <c r="S3944" s="23" t="s">
        <v>5949</v>
      </c>
      <c r="W3944" s="45" t="str">
        <f>HYPERLINK("http://ictvonline.org/taxonomy/p/taxonomy-history?taxnode_id=201855667","ICTVonline=201855667")</f>
        <v>ICTVonline=201855667</v>
      </c>
      <c r="AA3944" s="1">
        <v>201850000</v>
      </c>
      <c r="AB3944" s="1">
        <v>34</v>
      </c>
    </row>
    <row r="3945" spans="1:28" x14ac:dyDescent="0.15">
      <c r="A3945" s="1">
        <v>10005</v>
      </c>
      <c r="L3945" s="1" t="s">
        <v>5236</v>
      </c>
      <c r="M3945" s="1" t="s">
        <v>5237</v>
      </c>
      <c r="N3945" s="1" t="s">
        <v>5241</v>
      </c>
      <c r="P3945" s="1" t="s">
        <v>5244</v>
      </c>
      <c r="Q3945" s="3">
        <v>0</v>
      </c>
      <c r="S3945" s="23" t="s">
        <v>5949</v>
      </c>
      <c r="W3945" s="45" t="str">
        <f>HYPERLINK("http://ictvonline.org/taxonomy/p/taxonomy-history?taxnode_id=201855668","ICTVonline=201855668")</f>
        <v>ICTVonline=201855668</v>
      </c>
      <c r="AA3945" s="1">
        <v>201850000</v>
      </c>
      <c r="AB3945" s="1">
        <v>34</v>
      </c>
    </row>
    <row r="3946" spans="1:28" x14ac:dyDescent="0.15">
      <c r="A3946" s="1">
        <v>10007</v>
      </c>
      <c r="L3946" s="1" t="s">
        <v>5236</v>
      </c>
      <c r="M3946" s="1" t="s">
        <v>5237</v>
      </c>
      <c r="N3946" s="1" t="s">
        <v>5241</v>
      </c>
      <c r="P3946" s="1" t="s">
        <v>5245</v>
      </c>
      <c r="Q3946" s="3">
        <v>0</v>
      </c>
      <c r="S3946" s="23" t="s">
        <v>5949</v>
      </c>
      <c r="W3946" s="45" t="str">
        <f>HYPERLINK("http://ictvonline.org/taxonomy/p/taxonomy-history?taxnode_id=201855669","ICTVonline=201855669")</f>
        <v>ICTVonline=201855669</v>
      </c>
      <c r="AA3946" s="1">
        <v>201850000</v>
      </c>
      <c r="AB3946" s="1">
        <v>34</v>
      </c>
    </row>
    <row r="3947" spans="1:28" x14ac:dyDescent="0.15">
      <c r="A3947" s="1">
        <v>10009</v>
      </c>
      <c r="L3947" s="1" t="s">
        <v>5236</v>
      </c>
      <c r="M3947" s="1" t="s">
        <v>5237</v>
      </c>
      <c r="N3947" s="1" t="s">
        <v>5241</v>
      </c>
      <c r="P3947" s="1" t="s">
        <v>5246</v>
      </c>
      <c r="Q3947" s="3">
        <v>0</v>
      </c>
      <c r="S3947" s="23" t="s">
        <v>5949</v>
      </c>
      <c r="W3947" s="45" t="str">
        <f>HYPERLINK("http://ictvonline.org/taxonomy/p/taxonomy-history?taxnode_id=201855670","ICTVonline=201855670")</f>
        <v>ICTVonline=201855670</v>
      </c>
      <c r="AA3947" s="1">
        <v>201850000</v>
      </c>
      <c r="AB3947" s="1">
        <v>34</v>
      </c>
    </row>
    <row r="3948" spans="1:28" x14ac:dyDescent="0.15">
      <c r="A3948" s="1">
        <v>10011</v>
      </c>
      <c r="L3948" s="1" t="s">
        <v>5236</v>
      </c>
      <c r="M3948" s="1" t="s">
        <v>5237</v>
      </c>
      <c r="N3948" s="1" t="s">
        <v>5241</v>
      </c>
      <c r="P3948" s="1" t="s">
        <v>5247</v>
      </c>
      <c r="Q3948" s="3">
        <v>0</v>
      </c>
      <c r="S3948" s="23" t="s">
        <v>5949</v>
      </c>
      <c r="W3948" s="45" t="str">
        <f>HYPERLINK("http://ictvonline.org/taxonomy/p/taxonomy-history?taxnode_id=201855671","ICTVonline=201855671")</f>
        <v>ICTVonline=201855671</v>
      </c>
      <c r="AA3948" s="1">
        <v>201850000</v>
      </c>
      <c r="AB3948" s="1">
        <v>34</v>
      </c>
    </row>
    <row r="3949" spans="1:28" x14ac:dyDescent="0.15">
      <c r="A3949" s="1">
        <v>10013</v>
      </c>
      <c r="L3949" s="1" t="s">
        <v>5236</v>
      </c>
      <c r="M3949" s="1" t="s">
        <v>5237</v>
      </c>
      <c r="N3949" s="1" t="s">
        <v>5241</v>
      </c>
      <c r="P3949" s="1" t="s">
        <v>5248</v>
      </c>
      <c r="Q3949" s="3">
        <v>0</v>
      </c>
      <c r="S3949" s="23" t="s">
        <v>5949</v>
      </c>
      <c r="W3949" s="45" t="str">
        <f>HYPERLINK("http://ictvonline.org/taxonomy/p/taxonomy-history?taxnode_id=201855672","ICTVonline=201855672")</f>
        <v>ICTVonline=201855672</v>
      </c>
      <c r="AA3949" s="1">
        <v>201850000</v>
      </c>
      <c r="AB3949" s="1">
        <v>34</v>
      </c>
    </row>
    <row r="3950" spans="1:28" x14ac:dyDescent="0.15">
      <c r="A3950" s="1">
        <v>10015</v>
      </c>
      <c r="L3950" s="1" t="s">
        <v>5236</v>
      </c>
      <c r="M3950" s="1" t="s">
        <v>5237</v>
      </c>
      <c r="N3950" s="1" t="s">
        <v>5241</v>
      </c>
      <c r="P3950" s="1" t="s">
        <v>5249</v>
      </c>
      <c r="Q3950" s="3">
        <v>0</v>
      </c>
      <c r="S3950" s="23" t="s">
        <v>5949</v>
      </c>
      <c r="W3950" s="45" t="str">
        <f>HYPERLINK("http://ictvonline.org/taxonomy/p/taxonomy-history?taxnode_id=201855673","ICTVonline=201855673")</f>
        <v>ICTVonline=201855673</v>
      </c>
      <c r="AA3950" s="1">
        <v>201850000</v>
      </c>
      <c r="AB3950" s="1">
        <v>34</v>
      </c>
    </row>
    <row r="3951" spans="1:28" x14ac:dyDescent="0.15">
      <c r="A3951" s="1">
        <v>10019</v>
      </c>
      <c r="L3951" s="1" t="s">
        <v>5236</v>
      </c>
      <c r="M3951" s="1" t="s">
        <v>5237</v>
      </c>
      <c r="N3951" s="1" t="s">
        <v>5250</v>
      </c>
      <c r="P3951" s="1" t="s">
        <v>5251</v>
      </c>
      <c r="Q3951" s="3">
        <v>0</v>
      </c>
      <c r="S3951" s="23" t="s">
        <v>5949</v>
      </c>
      <c r="W3951" s="45" t="str">
        <f>HYPERLINK("http://ictvonline.org/taxonomy/p/taxonomy-history?taxnode_id=201855675","ICTVonline=201855675")</f>
        <v>ICTVonline=201855675</v>
      </c>
      <c r="AA3951" s="1">
        <v>201850000</v>
      </c>
      <c r="AB3951" s="1">
        <v>34</v>
      </c>
    </row>
    <row r="3952" spans="1:28" x14ac:dyDescent="0.15">
      <c r="A3952" s="1">
        <v>10021</v>
      </c>
      <c r="L3952" s="1" t="s">
        <v>5236</v>
      </c>
      <c r="M3952" s="1" t="s">
        <v>5237</v>
      </c>
      <c r="N3952" s="1" t="s">
        <v>5250</v>
      </c>
      <c r="P3952" s="1" t="s">
        <v>5252</v>
      </c>
      <c r="Q3952" s="3">
        <v>0</v>
      </c>
      <c r="S3952" s="23" t="s">
        <v>5949</v>
      </c>
      <c r="W3952" s="45" t="str">
        <f>HYPERLINK("http://ictvonline.org/taxonomy/p/taxonomy-history?taxnode_id=201855676","ICTVonline=201855676")</f>
        <v>ICTVonline=201855676</v>
      </c>
      <c r="AA3952" s="1">
        <v>201850000</v>
      </c>
      <c r="AB3952" s="1">
        <v>34</v>
      </c>
    </row>
    <row r="3953" spans="1:28" x14ac:dyDescent="0.15">
      <c r="A3953" s="1">
        <v>10023</v>
      </c>
      <c r="L3953" s="1" t="s">
        <v>5236</v>
      </c>
      <c r="M3953" s="1" t="s">
        <v>5237</v>
      </c>
      <c r="N3953" s="1" t="s">
        <v>5250</v>
      </c>
      <c r="P3953" s="1" t="s">
        <v>5253</v>
      </c>
      <c r="Q3953" s="3">
        <v>0</v>
      </c>
      <c r="S3953" s="23" t="s">
        <v>5949</v>
      </c>
      <c r="W3953" s="45" t="str">
        <f>HYPERLINK("http://ictvonline.org/taxonomy/p/taxonomy-history?taxnode_id=201855677","ICTVonline=201855677")</f>
        <v>ICTVonline=201855677</v>
      </c>
      <c r="AA3953" s="1">
        <v>201850000</v>
      </c>
      <c r="AB3953" s="1">
        <v>34</v>
      </c>
    </row>
    <row r="3954" spans="1:28" x14ac:dyDescent="0.15">
      <c r="A3954" s="1">
        <v>10025</v>
      </c>
      <c r="L3954" s="1" t="s">
        <v>5236</v>
      </c>
      <c r="M3954" s="1" t="s">
        <v>5237</v>
      </c>
      <c r="N3954" s="1" t="s">
        <v>5250</v>
      </c>
      <c r="P3954" s="1" t="s">
        <v>5254</v>
      </c>
      <c r="Q3954" s="3">
        <v>0</v>
      </c>
      <c r="S3954" s="23" t="s">
        <v>5949</v>
      </c>
      <c r="W3954" s="45" t="str">
        <f>HYPERLINK("http://ictvonline.org/taxonomy/p/taxonomy-history?taxnode_id=201855678","ICTVonline=201855678")</f>
        <v>ICTVonline=201855678</v>
      </c>
      <c r="AA3954" s="1">
        <v>201850000</v>
      </c>
      <c r="AB3954" s="1">
        <v>34</v>
      </c>
    </row>
    <row r="3955" spans="1:28" x14ac:dyDescent="0.15">
      <c r="A3955" s="1">
        <v>10027</v>
      </c>
      <c r="L3955" s="1" t="s">
        <v>5236</v>
      </c>
      <c r="M3955" s="1" t="s">
        <v>5237</v>
      </c>
      <c r="N3955" s="1" t="s">
        <v>5250</v>
      </c>
      <c r="P3955" s="1" t="s">
        <v>5255</v>
      </c>
      <c r="Q3955" s="3">
        <v>0</v>
      </c>
      <c r="S3955" s="23" t="s">
        <v>5949</v>
      </c>
      <c r="W3955" s="45" t="str">
        <f>HYPERLINK("http://ictvonline.org/taxonomy/p/taxonomy-history?taxnode_id=201855679","ICTVonline=201855679")</f>
        <v>ICTVonline=201855679</v>
      </c>
      <c r="AA3955" s="1">
        <v>201850000</v>
      </c>
      <c r="AB3955" s="1">
        <v>34</v>
      </c>
    </row>
    <row r="3956" spans="1:28" x14ac:dyDescent="0.15">
      <c r="A3956" s="1">
        <v>10029</v>
      </c>
      <c r="L3956" s="1" t="s">
        <v>5236</v>
      </c>
      <c r="M3956" s="1" t="s">
        <v>5237</v>
      </c>
      <c r="N3956" s="1" t="s">
        <v>5250</v>
      </c>
      <c r="P3956" s="1" t="s">
        <v>5256</v>
      </c>
      <c r="Q3956" s="3">
        <v>0</v>
      </c>
      <c r="S3956" s="23" t="s">
        <v>5949</v>
      </c>
      <c r="W3956" s="45" t="str">
        <f>HYPERLINK("http://ictvonline.org/taxonomy/p/taxonomy-history?taxnode_id=201855680","ICTVonline=201855680")</f>
        <v>ICTVonline=201855680</v>
      </c>
      <c r="AA3956" s="1">
        <v>201850000</v>
      </c>
      <c r="AB3956" s="1">
        <v>34</v>
      </c>
    </row>
    <row r="3957" spans="1:28" x14ac:dyDescent="0.15">
      <c r="A3957" s="1">
        <v>10031</v>
      </c>
      <c r="L3957" s="1" t="s">
        <v>5236</v>
      </c>
      <c r="M3957" s="1" t="s">
        <v>5237</v>
      </c>
      <c r="N3957" s="1" t="s">
        <v>5250</v>
      </c>
      <c r="P3957" s="1" t="s">
        <v>5257</v>
      </c>
      <c r="Q3957" s="3">
        <v>0</v>
      </c>
      <c r="S3957" s="23" t="s">
        <v>5949</v>
      </c>
      <c r="W3957" s="45" t="str">
        <f>HYPERLINK("http://ictvonline.org/taxonomy/p/taxonomy-history?taxnode_id=201855681","ICTVonline=201855681")</f>
        <v>ICTVonline=201855681</v>
      </c>
      <c r="AA3957" s="1">
        <v>201850000</v>
      </c>
      <c r="AB3957" s="1">
        <v>34</v>
      </c>
    </row>
    <row r="3958" spans="1:28" x14ac:dyDescent="0.15">
      <c r="A3958" s="1">
        <v>10033</v>
      </c>
      <c r="L3958" s="1" t="s">
        <v>5236</v>
      </c>
      <c r="M3958" s="1" t="s">
        <v>5237</v>
      </c>
      <c r="N3958" s="1" t="s">
        <v>5250</v>
      </c>
      <c r="P3958" s="1" t="s">
        <v>5258</v>
      </c>
      <c r="Q3958" s="3">
        <v>0</v>
      </c>
      <c r="S3958" s="23" t="s">
        <v>5949</v>
      </c>
      <c r="W3958" s="45" t="str">
        <f>HYPERLINK("http://ictvonline.org/taxonomy/p/taxonomy-history?taxnode_id=201855682","ICTVonline=201855682")</f>
        <v>ICTVonline=201855682</v>
      </c>
      <c r="AA3958" s="1">
        <v>201850000</v>
      </c>
      <c r="AB3958" s="1">
        <v>34</v>
      </c>
    </row>
    <row r="3959" spans="1:28" x14ac:dyDescent="0.15">
      <c r="A3959" s="1">
        <v>10035</v>
      </c>
      <c r="L3959" s="1" t="s">
        <v>5236</v>
      </c>
      <c r="M3959" s="1" t="s">
        <v>5237</v>
      </c>
      <c r="N3959" s="1" t="s">
        <v>5250</v>
      </c>
      <c r="P3959" s="1" t="s">
        <v>5259</v>
      </c>
      <c r="Q3959" s="3">
        <v>0</v>
      </c>
      <c r="S3959" s="23" t="s">
        <v>5949</v>
      </c>
      <c r="W3959" s="45" t="str">
        <f>HYPERLINK("http://ictvonline.org/taxonomy/p/taxonomy-history?taxnode_id=201855683","ICTVonline=201855683")</f>
        <v>ICTVonline=201855683</v>
      </c>
      <c r="AA3959" s="1">
        <v>201850000</v>
      </c>
      <c r="AB3959" s="1">
        <v>34</v>
      </c>
    </row>
    <row r="3960" spans="1:28" x14ac:dyDescent="0.15">
      <c r="A3960" s="1">
        <v>10037</v>
      </c>
      <c r="L3960" s="1" t="s">
        <v>5236</v>
      </c>
      <c r="M3960" s="1" t="s">
        <v>5237</v>
      </c>
      <c r="N3960" s="1" t="s">
        <v>5250</v>
      </c>
      <c r="P3960" s="1" t="s">
        <v>5260</v>
      </c>
      <c r="Q3960" s="3">
        <v>0</v>
      </c>
      <c r="S3960" s="23" t="s">
        <v>5949</v>
      </c>
      <c r="W3960" s="45" t="str">
        <f>HYPERLINK("http://ictvonline.org/taxonomy/p/taxonomy-history?taxnode_id=201855684","ICTVonline=201855684")</f>
        <v>ICTVonline=201855684</v>
      </c>
      <c r="AA3960" s="1">
        <v>201850000</v>
      </c>
      <c r="AB3960" s="1">
        <v>34</v>
      </c>
    </row>
    <row r="3961" spans="1:28" x14ac:dyDescent="0.15">
      <c r="A3961" s="1">
        <v>10039</v>
      </c>
      <c r="L3961" s="1" t="s">
        <v>5236</v>
      </c>
      <c r="M3961" s="1" t="s">
        <v>5237</v>
      </c>
      <c r="N3961" s="1" t="s">
        <v>5250</v>
      </c>
      <c r="P3961" s="1" t="s">
        <v>5261</v>
      </c>
      <c r="Q3961" s="3">
        <v>1</v>
      </c>
      <c r="S3961" s="23" t="s">
        <v>5949</v>
      </c>
      <c r="W3961" s="45" t="str">
        <f>HYPERLINK("http://ictvonline.org/taxonomy/p/taxonomy-history?taxnode_id=201855685","ICTVonline=201855685")</f>
        <v>ICTVonline=201855685</v>
      </c>
      <c r="AA3961" s="1">
        <v>201850000</v>
      </c>
      <c r="AB3961" s="1">
        <v>34</v>
      </c>
    </row>
    <row r="3962" spans="1:28" x14ac:dyDescent="0.15">
      <c r="A3962" s="1">
        <v>10041</v>
      </c>
      <c r="L3962" s="1" t="s">
        <v>5236</v>
      </c>
      <c r="M3962" s="1" t="s">
        <v>5237</v>
      </c>
      <c r="N3962" s="1" t="s">
        <v>5250</v>
      </c>
      <c r="P3962" s="1" t="s">
        <v>5262</v>
      </c>
      <c r="Q3962" s="3">
        <v>0</v>
      </c>
      <c r="S3962" s="23" t="s">
        <v>5949</v>
      </c>
      <c r="W3962" s="45" t="str">
        <f>HYPERLINK("http://ictvonline.org/taxonomy/p/taxonomy-history?taxnode_id=201855686","ICTVonline=201855686")</f>
        <v>ICTVonline=201855686</v>
      </c>
      <c r="AA3962" s="1">
        <v>201850000</v>
      </c>
      <c r="AB3962" s="1">
        <v>34</v>
      </c>
    </row>
    <row r="3963" spans="1:28" x14ac:dyDescent="0.15">
      <c r="A3963" s="1">
        <v>10043</v>
      </c>
      <c r="L3963" s="1" t="s">
        <v>5236</v>
      </c>
      <c r="M3963" s="1" t="s">
        <v>5237</v>
      </c>
      <c r="N3963" s="1" t="s">
        <v>5250</v>
      </c>
      <c r="P3963" s="1" t="s">
        <v>5263</v>
      </c>
      <c r="Q3963" s="3">
        <v>0</v>
      </c>
      <c r="S3963" s="23" t="s">
        <v>5949</v>
      </c>
      <c r="W3963" s="45" t="str">
        <f>HYPERLINK("http://ictvonline.org/taxonomy/p/taxonomy-history?taxnode_id=201855687","ICTVonline=201855687")</f>
        <v>ICTVonline=201855687</v>
      </c>
      <c r="AA3963" s="1">
        <v>201850000</v>
      </c>
      <c r="AB3963" s="1">
        <v>34</v>
      </c>
    </row>
    <row r="3964" spans="1:28" x14ac:dyDescent="0.15">
      <c r="A3964" s="1">
        <v>10045</v>
      </c>
      <c r="L3964" s="1" t="s">
        <v>5236</v>
      </c>
      <c r="M3964" s="1" t="s">
        <v>5237</v>
      </c>
      <c r="N3964" s="1" t="s">
        <v>5250</v>
      </c>
      <c r="P3964" s="1" t="s">
        <v>5264</v>
      </c>
      <c r="Q3964" s="3">
        <v>0</v>
      </c>
      <c r="S3964" s="23" t="s">
        <v>5949</v>
      </c>
      <c r="W3964" s="45" t="str">
        <f>HYPERLINK("http://ictvonline.org/taxonomy/p/taxonomy-history?taxnode_id=201855688","ICTVonline=201855688")</f>
        <v>ICTVonline=201855688</v>
      </c>
      <c r="AA3964" s="1">
        <v>201850000</v>
      </c>
      <c r="AB3964" s="1">
        <v>34</v>
      </c>
    </row>
    <row r="3965" spans="1:28" x14ac:dyDescent="0.15">
      <c r="A3965" s="1">
        <v>10047</v>
      </c>
      <c r="L3965" s="1" t="s">
        <v>5236</v>
      </c>
      <c r="M3965" s="1" t="s">
        <v>5237</v>
      </c>
      <c r="N3965" s="1" t="s">
        <v>5250</v>
      </c>
      <c r="P3965" s="1" t="s">
        <v>5265</v>
      </c>
      <c r="Q3965" s="3">
        <v>0</v>
      </c>
      <c r="S3965" s="23" t="s">
        <v>5949</v>
      </c>
      <c r="W3965" s="45" t="str">
        <f>HYPERLINK("http://ictvonline.org/taxonomy/p/taxonomy-history?taxnode_id=201855689","ICTVonline=201855689")</f>
        <v>ICTVonline=201855689</v>
      </c>
      <c r="AA3965" s="1">
        <v>201850000</v>
      </c>
      <c r="AB3965" s="1">
        <v>34</v>
      </c>
    </row>
    <row r="3966" spans="1:28" x14ac:dyDescent="0.15">
      <c r="A3966" s="1">
        <v>10049</v>
      </c>
      <c r="L3966" s="1" t="s">
        <v>5236</v>
      </c>
      <c r="M3966" s="1" t="s">
        <v>5237</v>
      </c>
      <c r="N3966" s="1" t="s">
        <v>5250</v>
      </c>
      <c r="P3966" s="1" t="s">
        <v>5266</v>
      </c>
      <c r="Q3966" s="3">
        <v>0</v>
      </c>
      <c r="S3966" s="23" t="s">
        <v>5949</v>
      </c>
      <c r="W3966" s="45" t="str">
        <f>HYPERLINK("http://ictvonline.org/taxonomy/p/taxonomy-history?taxnode_id=201855690","ICTVonline=201855690")</f>
        <v>ICTVonline=201855690</v>
      </c>
      <c r="AA3966" s="1">
        <v>201850000</v>
      </c>
      <c r="AB3966" s="1">
        <v>34</v>
      </c>
    </row>
    <row r="3967" spans="1:28" x14ac:dyDescent="0.15">
      <c r="A3967" s="1">
        <v>10051</v>
      </c>
      <c r="L3967" s="1" t="s">
        <v>5236</v>
      </c>
      <c r="M3967" s="1" t="s">
        <v>5237</v>
      </c>
      <c r="N3967" s="1" t="s">
        <v>5250</v>
      </c>
      <c r="P3967" s="1" t="s">
        <v>5267</v>
      </c>
      <c r="Q3967" s="3">
        <v>0</v>
      </c>
      <c r="S3967" s="23" t="s">
        <v>5949</v>
      </c>
      <c r="W3967" s="45" t="str">
        <f>HYPERLINK("http://ictvonline.org/taxonomy/p/taxonomy-history?taxnode_id=201855691","ICTVonline=201855691")</f>
        <v>ICTVonline=201855691</v>
      </c>
      <c r="AA3967" s="1">
        <v>201850000</v>
      </c>
      <c r="AB3967" s="1">
        <v>34</v>
      </c>
    </row>
    <row r="3968" spans="1:28" x14ac:dyDescent="0.15">
      <c r="A3968" s="1">
        <v>10053</v>
      </c>
      <c r="L3968" s="1" t="s">
        <v>5236</v>
      </c>
      <c r="M3968" s="1" t="s">
        <v>5237</v>
      </c>
      <c r="N3968" s="1" t="s">
        <v>5250</v>
      </c>
      <c r="P3968" s="1" t="s">
        <v>5268</v>
      </c>
      <c r="Q3968" s="3">
        <v>0</v>
      </c>
      <c r="S3968" s="23" t="s">
        <v>5949</v>
      </c>
      <c r="W3968" s="45" t="str">
        <f>HYPERLINK("http://ictvonline.org/taxonomy/p/taxonomy-history?taxnode_id=201855692","ICTVonline=201855692")</f>
        <v>ICTVonline=201855692</v>
      </c>
      <c r="AA3968" s="1">
        <v>201850000</v>
      </c>
      <c r="AB3968" s="1">
        <v>34</v>
      </c>
    </row>
    <row r="3969" spans="1:28" x14ac:dyDescent="0.15">
      <c r="A3969" s="1">
        <v>10055</v>
      </c>
      <c r="L3969" s="1" t="s">
        <v>5236</v>
      </c>
      <c r="M3969" s="1" t="s">
        <v>5237</v>
      </c>
      <c r="N3969" s="1" t="s">
        <v>5250</v>
      </c>
      <c r="P3969" s="1" t="s">
        <v>5269</v>
      </c>
      <c r="Q3969" s="3">
        <v>0</v>
      </c>
      <c r="S3969" s="23" t="s">
        <v>5949</v>
      </c>
      <c r="W3969" s="45" t="str">
        <f>HYPERLINK("http://ictvonline.org/taxonomy/p/taxonomy-history?taxnode_id=201855693","ICTVonline=201855693")</f>
        <v>ICTVonline=201855693</v>
      </c>
      <c r="AA3969" s="1">
        <v>201850000</v>
      </c>
      <c r="AB3969" s="1">
        <v>34</v>
      </c>
    </row>
    <row r="3970" spans="1:28" x14ac:dyDescent="0.15">
      <c r="A3970" s="1">
        <v>10057</v>
      </c>
      <c r="L3970" s="1" t="s">
        <v>5236</v>
      </c>
      <c r="M3970" s="1" t="s">
        <v>5237</v>
      </c>
      <c r="N3970" s="1" t="s">
        <v>5250</v>
      </c>
      <c r="P3970" s="1" t="s">
        <v>5270</v>
      </c>
      <c r="Q3970" s="3">
        <v>0</v>
      </c>
      <c r="S3970" s="23" t="s">
        <v>5949</v>
      </c>
      <c r="W3970" s="45" t="str">
        <f>HYPERLINK("http://ictvonline.org/taxonomy/p/taxonomy-history?taxnode_id=201855694","ICTVonline=201855694")</f>
        <v>ICTVonline=201855694</v>
      </c>
      <c r="AA3970" s="1">
        <v>201850000</v>
      </c>
      <c r="AB3970" s="1">
        <v>34</v>
      </c>
    </row>
    <row r="3971" spans="1:28" x14ac:dyDescent="0.15">
      <c r="A3971" s="1">
        <v>10059</v>
      </c>
      <c r="L3971" s="1" t="s">
        <v>5236</v>
      </c>
      <c r="M3971" s="1" t="s">
        <v>5237</v>
      </c>
      <c r="N3971" s="1" t="s">
        <v>5250</v>
      </c>
      <c r="P3971" s="1" t="s">
        <v>5271</v>
      </c>
      <c r="Q3971" s="3">
        <v>0</v>
      </c>
      <c r="S3971" s="23" t="s">
        <v>5949</v>
      </c>
      <c r="W3971" s="45" t="str">
        <f>HYPERLINK("http://ictvonline.org/taxonomy/p/taxonomy-history?taxnode_id=201855695","ICTVonline=201855695")</f>
        <v>ICTVonline=201855695</v>
      </c>
      <c r="AA3971" s="1">
        <v>201850000</v>
      </c>
      <c r="AB3971" s="1">
        <v>34</v>
      </c>
    </row>
    <row r="3972" spans="1:28" x14ac:dyDescent="0.15">
      <c r="A3972" s="1">
        <v>10061</v>
      </c>
      <c r="L3972" s="1" t="s">
        <v>5236</v>
      </c>
      <c r="M3972" s="1" t="s">
        <v>5237</v>
      </c>
      <c r="N3972" s="1" t="s">
        <v>5250</v>
      </c>
      <c r="P3972" s="1" t="s">
        <v>5272</v>
      </c>
      <c r="Q3972" s="3">
        <v>0</v>
      </c>
      <c r="S3972" s="23" t="s">
        <v>5949</v>
      </c>
      <c r="W3972" s="45" t="str">
        <f>HYPERLINK("http://ictvonline.org/taxonomy/p/taxonomy-history?taxnode_id=201855696","ICTVonline=201855696")</f>
        <v>ICTVonline=201855696</v>
      </c>
      <c r="AA3972" s="1">
        <v>201850000</v>
      </c>
      <c r="AB3972" s="1">
        <v>34</v>
      </c>
    </row>
    <row r="3973" spans="1:28" x14ac:dyDescent="0.15">
      <c r="A3973" s="1">
        <v>10063</v>
      </c>
      <c r="L3973" s="1" t="s">
        <v>5236</v>
      </c>
      <c r="M3973" s="1" t="s">
        <v>5237</v>
      </c>
      <c r="N3973" s="1" t="s">
        <v>5250</v>
      </c>
      <c r="P3973" s="1" t="s">
        <v>5273</v>
      </c>
      <c r="Q3973" s="3">
        <v>0</v>
      </c>
      <c r="S3973" s="23" t="s">
        <v>5949</v>
      </c>
      <c r="W3973" s="45" t="str">
        <f>HYPERLINK("http://ictvonline.org/taxonomy/p/taxonomy-history?taxnode_id=201855697","ICTVonline=201855697")</f>
        <v>ICTVonline=201855697</v>
      </c>
      <c r="AA3973" s="1">
        <v>201850000</v>
      </c>
      <c r="AB3973" s="1">
        <v>34</v>
      </c>
    </row>
    <row r="3974" spans="1:28" x14ac:dyDescent="0.15">
      <c r="A3974" s="1">
        <v>10065</v>
      </c>
      <c r="L3974" s="1" t="s">
        <v>5236</v>
      </c>
      <c r="M3974" s="1" t="s">
        <v>5237</v>
      </c>
      <c r="N3974" s="1" t="s">
        <v>5250</v>
      </c>
      <c r="P3974" s="1" t="s">
        <v>5274</v>
      </c>
      <c r="Q3974" s="3">
        <v>0</v>
      </c>
      <c r="S3974" s="23" t="s">
        <v>5949</v>
      </c>
      <c r="W3974" s="45" t="str">
        <f>HYPERLINK("http://ictvonline.org/taxonomy/p/taxonomy-history?taxnode_id=201855698","ICTVonline=201855698")</f>
        <v>ICTVonline=201855698</v>
      </c>
      <c r="AA3974" s="1">
        <v>201850000</v>
      </c>
      <c r="AB3974" s="1">
        <v>34</v>
      </c>
    </row>
    <row r="3975" spans="1:28" x14ac:dyDescent="0.15">
      <c r="A3975" s="1">
        <v>10067</v>
      </c>
      <c r="L3975" s="1" t="s">
        <v>5236</v>
      </c>
      <c r="M3975" s="1" t="s">
        <v>5237</v>
      </c>
      <c r="N3975" s="1" t="s">
        <v>5250</v>
      </c>
      <c r="P3975" s="1" t="s">
        <v>5275</v>
      </c>
      <c r="Q3975" s="3">
        <v>0</v>
      </c>
      <c r="S3975" s="23" t="s">
        <v>5949</v>
      </c>
      <c r="W3975" s="45" t="str">
        <f>HYPERLINK("http://ictvonline.org/taxonomy/p/taxonomy-history?taxnode_id=201855699","ICTVonline=201855699")</f>
        <v>ICTVonline=201855699</v>
      </c>
      <c r="AA3975" s="1">
        <v>201850000</v>
      </c>
      <c r="AB3975" s="1">
        <v>34</v>
      </c>
    </row>
    <row r="3976" spans="1:28" x14ac:dyDescent="0.15">
      <c r="A3976" s="1">
        <v>10071</v>
      </c>
      <c r="L3976" s="1" t="s">
        <v>5236</v>
      </c>
      <c r="M3976" s="1" t="s">
        <v>5237</v>
      </c>
      <c r="N3976" s="1" t="s">
        <v>5276</v>
      </c>
      <c r="P3976" s="1" t="s">
        <v>5277</v>
      </c>
      <c r="Q3976" s="3">
        <v>1</v>
      </c>
      <c r="S3976" s="23" t="s">
        <v>5949</v>
      </c>
      <c r="W3976" s="45" t="str">
        <f>HYPERLINK("http://ictvonline.org/taxonomy/p/taxonomy-history?taxnode_id=201855701","ICTVonline=201855701")</f>
        <v>ICTVonline=201855701</v>
      </c>
      <c r="AA3976" s="1">
        <v>201850000</v>
      </c>
      <c r="AB3976" s="1">
        <v>34</v>
      </c>
    </row>
    <row r="3977" spans="1:28" x14ac:dyDescent="0.15">
      <c r="A3977" s="1">
        <v>10073</v>
      </c>
      <c r="L3977" s="1" t="s">
        <v>5236</v>
      </c>
      <c r="M3977" s="1" t="s">
        <v>5237</v>
      </c>
      <c r="N3977" s="1" t="s">
        <v>5276</v>
      </c>
      <c r="P3977" s="1" t="s">
        <v>5278</v>
      </c>
      <c r="Q3977" s="3">
        <v>0</v>
      </c>
      <c r="S3977" s="23" t="s">
        <v>5949</v>
      </c>
      <c r="W3977" s="45" t="str">
        <f>HYPERLINK("http://ictvonline.org/taxonomy/p/taxonomy-history?taxnode_id=201855702","ICTVonline=201855702")</f>
        <v>ICTVonline=201855702</v>
      </c>
      <c r="AA3977" s="1">
        <v>201850000</v>
      </c>
      <c r="AB3977" s="1">
        <v>34</v>
      </c>
    </row>
    <row r="3978" spans="1:28" x14ac:dyDescent="0.15">
      <c r="A3978" s="1">
        <v>10075</v>
      </c>
      <c r="L3978" s="1" t="s">
        <v>5236</v>
      </c>
      <c r="M3978" s="1" t="s">
        <v>5237</v>
      </c>
      <c r="N3978" s="1" t="s">
        <v>5276</v>
      </c>
      <c r="P3978" s="1" t="s">
        <v>5279</v>
      </c>
      <c r="Q3978" s="3">
        <v>0</v>
      </c>
      <c r="S3978" s="23" t="s">
        <v>5949</v>
      </c>
      <c r="W3978" s="45" t="str">
        <f>HYPERLINK("http://ictvonline.org/taxonomy/p/taxonomy-history?taxnode_id=201855703","ICTVonline=201855703")</f>
        <v>ICTVonline=201855703</v>
      </c>
      <c r="AA3978" s="1">
        <v>201850000</v>
      </c>
      <c r="AB3978" s="1">
        <v>34</v>
      </c>
    </row>
    <row r="3979" spans="1:28" x14ac:dyDescent="0.15">
      <c r="A3979" s="1">
        <v>10077</v>
      </c>
      <c r="L3979" s="1" t="s">
        <v>5236</v>
      </c>
      <c r="M3979" s="1" t="s">
        <v>5237</v>
      </c>
      <c r="N3979" s="1" t="s">
        <v>5276</v>
      </c>
      <c r="P3979" s="1" t="s">
        <v>5280</v>
      </c>
      <c r="Q3979" s="3">
        <v>0</v>
      </c>
      <c r="S3979" s="23" t="s">
        <v>5949</v>
      </c>
      <c r="W3979" s="45" t="str">
        <f>HYPERLINK("http://ictvonline.org/taxonomy/p/taxonomy-history?taxnode_id=201855704","ICTVonline=201855704")</f>
        <v>ICTVonline=201855704</v>
      </c>
      <c r="AA3979" s="1">
        <v>201850000</v>
      </c>
      <c r="AB3979" s="1">
        <v>34</v>
      </c>
    </row>
    <row r="3980" spans="1:28" x14ac:dyDescent="0.15">
      <c r="A3980" s="1">
        <v>10079</v>
      </c>
      <c r="L3980" s="1" t="s">
        <v>5236</v>
      </c>
      <c r="M3980" s="1" t="s">
        <v>5237</v>
      </c>
      <c r="N3980" s="1" t="s">
        <v>5276</v>
      </c>
      <c r="P3980" s="1" t="s">
        <v>5281</v>
      </c>
      <c r="Q3980" s="3">
        <v>0</v>
      </c>
      <c r="S3980" s="23" t="s">
        <v>5949</v>
      </c>
      <c r="W3980" s="45" t="str">
        <f>HYPERLINK("http://ictvonline.org/taxonomy/p/taxonomy-history?taxnode_id=201855705","ICTVonline=201855705")</f>
        <v>ICTVonline=201855705</v>
      </c>
      <c r="AA3980" s="1">
        <v>201850000</v>
      </c>
      <c r="AB3980" s="1">
        <v>34</v>
      </c>
    </row>
    <row r="3981" spans="1:28" x14ac:dyDescent="0.15">
      <c r="A3981" s="1">
        <v>10081</v>
      </c>
      <c r="L3981" s="1" t="s">
        <v>5236</v>
      </c>
      <c r="M3981" s="1" t="s">
        <v>5237</v>
      </c>
      <c r="N3981" s="1" t="s">
        <v>5276</v>
      </c>
      <c r="P3981" s="1" t="s">
        <v>5282</v>
      </c>
      <c r="Q3981" s="3">
        <v>0</v>
      </c>
      <c r="S3981" s="23" t="s">
        <v>5949</v>
      </c>
      <c r="W3981" s="45" t="str">
        <f>HYPERLINK("http://ictvonline.org/taxonomy/p/taxonomy-history?taxnode_id=201855706","ICTVonline=201855706")</f>
        <v>ICTVonline=201855706</v>
      </c>
      <c r="AA3981" s="1">
        <v>201850000</v>
      </c>
      <c r="AB3981" s="1">
        <v>34</v>
      </c>
    </row>
    <row r="3982" spans="1:28" x14ac:dyDescent="0.15">
      <c r="A3982" s="1">
        <v>10084</v>
      </c>
      <c r="L3982" s="1" t="s">
        <v>5236</v>
      </c>
      <c r="M3982" s="1" t="s">
        <v>5237</v>
      </c>
      <c r="P3982" s="1" t="s">
        <v>5283</v>
      </c>
      <c r="Q3982" s="3">
        <v>0</v>
      </c>
      <c r="S3982" s="23" t="s">
        <v>5949</v>
      </c>
      <c r="W3982" s="45" t="str">
        <f>HYPERLINK("http://ictvonline.org/taxonomy/p/taxonomy-history?taxnode_id=201855708","ICTVonline=201855708")</f>
        <v>ICTVonline=201855708</v>
      </c>
      <c r="AA3982" s="1">
        <v>201850000</v>
      </c>
      <c r="AB3982" s="1">
        <v>34</v>
      </c>
    </row>
    <row r="3983" spans="1:28" x14ac:dyDescent="0.15">
      <c r="A3983" s="1">
        <v>10086</v>
      </c>
      <c r="L3983" s="1" t="s">
        <v>5236</v>
      </c>
      <c r="M3983" s="1" t="s">
        <v>5237</v>
      </c>
      <c r="P3983" s="1" t="s">
        <v>6950</v>
      </c>
      <c r="Q3983" s="3">
        <v>0</v>
      </c>
      <c r="S3983" s="23" t="s">
        <v>5949</v>
      </c>
      <c r="T3983" s="23" t="s">
        <v>6499</v>
      </c>
      <c r="U3983" s="3">
        <v>34</v>
      </c>
      <c r="V3983" s="3" t="s">
        <v>6951</v>
      </c>
      <c r="W3983" s="45" t="str">
        <f>HYPERLINK("http://ictvonline.org/taxonomy/p/taxonomy-history?taxnode_id=201855709","ICTVonline=201855709")</f>
        <v>ICTVonline=201855709</v>
      </c>
      <c r="AA3983" s="1">
        <v>201850000</v>
      </c>
      <c r="AB3983" s="1">
        <v>34</v>
      </c>
    </row>
    <row r="3984" spans="1:28" x14ac:dyDescent="0.15">
      <c r="A3984" s="1">
        <v>10091</v>
      </c>
      <c r="L3984" s="1" t="s">
        <v>5236</v>
      </c>
      <c r="M3984" s="1" t="s">
        <v>5284</v>
      </c>
      <c r="N3984" s="1" t="s">
        <v>5285</v>
      </c>
      <c r="P3984" s="1" t="s">
        <v>5286</v>
      </c>
      <c r="Q3984" s="3">
        <v>1</v>
      </c>
      <c r="S3984" s="23" t="s">
        <v>5949</v>
      </c>
      <c r="W3984" s="45" t="str">
        <f>HYPERLINK("http://ictvonline.org/taxonomy/p/taxonomy-history?taxnode_id=201855712","ICTVonline=201855712")</f>
        <v>ICTVonline=201855712</v>
      </c>
      <c r="AA3984" s="1">
        <v>201850000</v>
      </c>
      <c r="AB3984" s="1">
        <v>34</v>
      </c>
    </row>
    <row r="3985" spans="1:28" x14ac:dyDescent="0.15">
      <c r="A3985" s="1">
        <v>10093</v>
      </c>
      <c r="L3985" s="1" t="s">
        <v>5236</v>
      </c>
      <c r="M3985" s="1" t="s">
        <v>5284</v>
      </c>
      <c r="N3985" s="1" t="s">
        <v>5285</v>
      </c>
      <c r="P3985" s="1" t="s">
        <v>5933</v>
      </c>
      <c r="Q3985" s="3">
        <v>0</v>
      </c>
      <c r="S3985" s="23" t="s">
        <v>5949</v>
      </c>
      <c r="W3985" s="45" t="str">
        <f>HYPERLINK("http://ictvonline.org/taxonomy/p/taxonomy-history?taxnode_id=201855711","ICTVonline=201855711")</f>
        <v>ICTVonline=201855711</v>
      </c>
      <c r="AA3985" s="1">
        <v>201850000</v>
      </c>
      <c r="AB3985" s="1">
        <v>34</v>
      </c>
    </row>
    <row r="3986" spans="1:28" x14ac:dyDescent="0.15">
      <c r="A3986" s="1">
        <v>10095</v>
      </c>
      <c r="L3986" s="1" t="s">
        <v>5236</v>
      </c>
      <c r="M3986" s="1" t="s">
        <v>5284</v>
      </c>
      <c r="N3986" s="1" t="s">
        <v>5285</v>
      </c>
      <c r="P3986" s="1" t="s">
        <v>5287</v>
      </c>
      <c r="Q3986" s="3">
        <v>0</v>
      </c>
      <c r="S3986" s="23" t="s">
        <v>5949</v>
      </c>
      <c r="W3986" s="45" t="str">
        <f>HYPERLINK("http://ictvonline.org/taxonomy/p/taxonomy-history?taxnode_id=201855713","ICTVonline=201855713")</f>
        <v>ICTVonline=201855713</v>
      </c>
      <c r="AA3986" s="1">
        <v>201850000</v>
      </c>
      <c r="AB3986" s="1">
        <v>34</v>
      </c>
    </row>
    <row r="3987" spans="1:28" x14ac:dyDescent="0.15">
      <c r="A3987" s="1">
        <v>10097</v>
      </c>
      <c r="L3987" s="1" t="s">
        <v>5236</v>
      </c>
      <c r="M3987" s="1" t="s">
        <v>5284</v>
      </c>
      <c r="N3987" s="1" t="s">
        <v>5285</v>
      </c>
      <c r="P3987" s="1" t="s">
        <v>5288</v>
      </c>
      <c r="Q3987" s="3">
        <v>0</v>
      </c>
      <c r="S3987" s="23" t="s">
        <v>5949</v>
      </c>
      <c r="W3987" s="45" t="str">
        <f>HYPERLINK("http://ictvonline.org/taxonomy/p/taxonomy-history?taxnode_id=201855714","ICTVonline=201855714")</f>
        <v>ICTVonline=201855714</v>
      </c>
      <c r="AA3987" s="1">
        <v>201850000</v>
      </c>
      <c r="AB3987" s="1">
        <v>34</v>
      </c>
    </row>
    <row r="3988" spans="1:28" x14ac:dyDescent="0.15">
      <c r="A3988" s="1">
        <v>10101</v>
      </c>
      <c r="L3988" s="1" t="s">
        <v>5236</v>
      </c>
      <c r="M3988" s="1" t="s">
        <v>5284</v>
      </c>
      <c r="N3988" s="1" t="s">
        <v>5289</v>
      </c>
      <c r="P3988" s="1" t="s">
        <v>5934</v>
      </c>
      <c r="Q3988" s="3">
        <v>0</v>
      </c>
      <c r="S3988" s="23" t="s">
        <v>5949</v>
      </c>
      <c r="W3988" s="45" t="str">
        <f>HYPERLINK("http://ictvonline.org/taxonomy/p/taxonomy-history?taxnode_id=201855716","ICTVonline=201855716")</f>
        <v>ICTVonline=201855716</v>
      </c>
      <c r="AA3988" s="1">
        <v>201850000</v>
      </c>
      <c r="AB3988" s="1">
        <v>34</v>
      </c>
    </row>
    <row r="3989" spans="1:28" x14ac:dyDescent="0.15">
      <c r="A3989" s="1">
        <v>10103</v>
      </c>
      <c r="L3989" s="1" t="s">
        <v>5236</v>
      </c>
      <c r="M3989" s="1" t="s">
        <v>5284</v>
      </c>
      <c r="N3989" s="1" t="s">
        <v>5289</v>
      </c>
      <c r="P3989" s="1" t="s">
        <v>5935</v>
      </c>
      <c r="Q3989" s="3">
        <v>0</v>
      </c>
      <c r="S3989" s="23" t="s">
        <v>5949</v>
      </c>
      <c r="W3989" s="45" t="str">
        <f>HYPERLINK("http://ictvonline.org/taxonomy/p/taxonomy-history?taxnode_id=201855717","ICTVonline=201855717")</f>
        <v>ICTVonline=201855717</v>
      </c>
      <c r="AA3989" s="1">
        <v>201850000</v>
      </c>
      <c r="AB3989" s="1">
        <v>34</v>
      </c>
    </row>
    <row r="3990" spans="1:28" x14ac:dyDescent="0.15">
      <c r="A3990" s="1">
        <v>10105</v>
      </c>
      <c r="L3990" s="1" t="s">
        <v>5236</v>
      </c>
      <c r="M3990" s="1" t="s">
        <v>5284</v>
      </c>
      <c r="N3990" s="1" t="s">
        <v>5289</v>
      </c>
      <c r="P3990" s="1" t="s">
        <v>5936</v>
      </c>
      <c r="Q3990" s="3">
        <v>0</v>
      </c>
      <c r="S3990" s="23" t="s">
        <v>5949</v>
      </c>
      <c r="W3990" s="45" t="str">
        <f>HYPERLINK("http://ictvonline.org/taxonomy/p/taxonomy-history?taxnode_id=201855718","ICTVonline=201855718")</f>
        <v>ICTVonline=201855718</v>
      </c>
      <c r="AA3990" s="1">
        <v>201850000</v>
      </c>
      <c r="AB3990" s="1">
        <v>34</v>
      </c>
    </row>
    <row r="3991" spans="1:28" x14ac:dyDescent="0.15">
      <c r="A3991" s="1">
        <v>10107</v>
      </c>
      <c r="L3991" s="1" t="s">
        <v>5236</v>
      </c>
      <c r="M3991" s="1" t="s">
        <v>5284</v>
      </c>
      <c r="N3991" s="1" t="s">
        <v>5289</v>
      </c>
      <c r="P3991" s="1" t="s">
        <v>5937</v>
      </c>
      <c r="Q3991" s="3">
        <v>0</v>
      </c>
      <c r="S3991" s="23" t="s">
        <v>5949</v>
      </c>
      <c r="W3991" s="45" t="str">
        <f>HYPERLINK("http://ictvonline.org/taxonomy/p/taxonomy-history?taxnode_id=201855719","ICTVonline=201855719")</f>
        <v>ICTVonline=201855719</v>
      </c>
      <c r="AA3991" s="1">
        <v>201850000</v>
      </c>
      <c r="AB3991" s="1">
        <v>34</v>
      </c>
    </row>
    <row r="3992" spans="1:28" x14ac:dyDescent="0.15">
      <c r="A3992" s="1">
        <v>10109</v>
      </c>
      <c r="L3992" s="1" t="s">
        <v>5236</v>
      </c>
      <c r="M3992" s="1" t="s">
        <v>5284</v>
      </c>
      <c r="N3992" s="1" t="s">
        <v>5289</v>
      </c>
      <c r="P3992" s="1" t="s">
        <v>5290</v>
      </c>
      <c r="Q3992" s="3">
        <v>1</v>
      </c>
      <c r="S3992" s="23" t="s">
        <v>5949</v>
      </c>
      <c r="W3992" s="45" t="str">
        <f>HYPERLINK("http://ictvonline.org/taxonomy/p/taxonomy-history?taxnode_id=201855720","ICTVonline=201855720")</f>
        <v>ICTVonline=201855720</v>
      </c>
      <c r="AA3992" s="1">
        <v>201850000</v>
      </c>
      <c r="AB3992" s="1">
        <v>34</v>
      </c>
    </row>
    <row r="3993" spans="1:28" x14ac:dyDescent="0.15">
      <c r="A3993" s="1">
        <v>10113</v>
      </c>
      <c r="L3993" s="1" t="s">
        <v>5236</v>
      </c>
      <c r="M3993" s="1" t="s">
        <v>5284</v>
      </c>
      <c r="N3993" s="1" t="s">
        <v>5291</v>
      </c>
      <c r="P3993" s="1" t="s">
        <v>5292</v>
      </c>
      <c r="Q3993" s="3">
        <v>1</v>
      </c>
      <c r="S3993" s="23" t="s">
        <v>5949</v>
      </c>
      <c r="W3993" s="45" t="str">
        <f>HYPERLINK("http://ictvonline.org/taxonomy/p/taxonomy-history?taxnode_id=201855722","ICTVonline=201855722")</f>
        <v>ICTVonline=201855722</v>
      </c>
      <c r="AA3993" s="1">
        <v>201850000</v>
      </c>
      <c r="AB3993" s="1">
        <v>34</v>
      </c>
    </row>
    <row r="3994" spans="1:28" x14ac:dyDescent="0.15">
      <c r="A3994" s="1">
        <v>10117</v>
      </c>
      <c r="L3994" s="1" t="s">
        <v>5236</v>
      </c>
      <c r="M3994" s="1" t="s">
        <v>5284</v>
      </c>
      <c r="N3994" s="1" t="s">
        <v>5293</v>
      </c>
      <c r="P3994" s="1" t="s">
        <v>5938</v>
      </c>
      <c r="Q3994" s="3">
        <v>1</v>
      </c>
      <c r="S3994" s="23" t="s">
        <v>5949</v>
      </c>
      <c r="W3994" s="45" t="str">
        <f>HYPERLINK("http://ictvonline.org/taxonomy/p/taxonomy-history?taxnode_id=201855724","ICTVonline=201855724")</f>
        <v>ICTVonline=201855724</v>
      </c>
      <c r="AA3994" s="1">
        <v>201850000</v>
      </c>
      <c r="AB3994" s="1">
        <v>34</v>
      </c>
    </row>
    <row r="3995" spans="1:28" x14ac:dyDescent="0.15">
      <c r="A3995" s="1">
        <v>10121</v>
      </c>
      <c r="L3995" s="1" t="s">
        <v>5236</v>
      </c>
      <c r="M3995" s="1" t="s">
        <v>5284</v>
      </c>
      <c r="N3995" s="1" t="s">
        <v>5294</v>
      </c>
      <c r="P3995" s="1" t="s">
        <v>5295</v>
      </c>
      <c r="Q3995" s="3">
        <v>0</v>
      </c>
      <c r="S3995" s="23" t="s">
        <v>5949</v>
      </c>
      <c r="W3995" s="45" t="str">
        <f>HYPERLINK("http://ictvonline.org/taxonomy/p/taxonomy-history?taxnode_id=201855726","ICTVonline=201855726")</f>
        <v>ICTVonline=201855726</v>
      </c>
      <c r="AA3995" s="1">
        <v>201850000</v>
      </c>
      <c r="AB3995" s="1">
        <v>34</v>
      </c>
    </row>
    <row r="3996" spans="1:28" x14ac:dyDescent="0.15">
      <c r="A3996" s="1">
        <v>10123</v>
      </c>
      <c r="L3996" s="1" t="s">
        <v>5236</v>
      </c>
      <c r="M3996" s="1" t="s">
        <v>5284</v>
      </c>
      <c r="N3996" s="1" t="s">
        <v>5294</v>
      </c>
      <c r="P3996" s="1" t="s">
        <v>5939</v>
      </c>
      <c r="Q3996" s="3">
        <v>1</v>
      </c>
      <c r="S3996" s="23" t="s">
        <v>5949</v>
      </c>
      <c r="W3996" s="45" t="str">
        <f>HYPERLINK("http://ictvonline.org/taxonomy/p/taxonomy-history?taxnode_id=201855727","ICTVonline=201855727")</f>
        <v>ICTVonline=201855727</v>
      </c>
      <c r="AA3996" s="1">
        <v>201850000</v>
      </c>
      <c r="AB3996" s="1">
        <v>34</v>
      </c>
    </row>
    <row r="3997" spans="1:28" x14ac:dyDescent="0.15">
      <c r="A3997" s="1">
        <v>10125</v>
      </c>
      <c r="L3997" s="1" t="s">
        <v>5236</v>
      </c>
      <c r="M3997" s="1" t="s">
        <v>5284</v>
      </c>
      <c r="N3997" s="1" t="s">
        <v>5294</v>
      </c>
      <c r="P3997" s="1" t="s">
        <v>5940</v>
      </c>
      <c r="Q3997" s="3">
        <v>0</v>
      </c>
      <c r="S3997" s="23" t="s">
        <v>5949</v>
      </c>
      <c r="W3997" s="45" t="str">
        <f>HYPERLINK("http://ictvonline.org/taxonomy/p/taxonomy-history?taxnode_id=201855728","ICTVonline=201855728")</f>
        <v>ICTVonline=201855728</v>
      </c>
      <c r="AA3997" s="1">
        <v>201850000</v>
      </c>
      <c r="AB3997" s="1">
        <v>34</v>
      </c>
    </row>
    <row r="3998" spans="1:28" x14ac:dyDescent="0.15">
      <c r="A3998" s="1">
        <v>10127</v>
      </c>
      <c r="L3998" s="1" t="s">
        <v>5236</v>
      </c>
      <c r="M3998" s="1" t="s">
        <v>5284</v>
      </c>
      <c r="N3998" s="1" t="s">
        <v>5294</v>
      </c>
      <c r="P3998" s="1" t="s">
        <v>5296</v>
      </c>
      <c r="Q3998" s="3">
        <v>0</v>
      </c>
      <c r="S3998" s="23" t="s">
        <v>5949</v>
      </c>
      <c r="W3998" s="45" t="str">
        <f>HYPERLINK("http://ictvonline.org/taxonomy/p/taxonomy-history?taxnode_id=201855729","ICTVonline=201855729")</f>
        <v>ICTVonline=201855729</v>
      </c>
      <c r="AA3998" s="1">
        <v>201850000</v>
      </c>
      <c r="AB3998" s="1">
        <v>34</v>
      </c>
    </row>
    <row r="3999" spans="1:28" x14ac:dyDescent="0.15">
      <c r="A3999" s="1">
        <v>10131</v>
      </c>
      <c r="L3999" s="1" t="s">
        <v>5236</v>
      </c>
      <c r="M3999" s="1" t="s">
        <v>5284</v>
      </c>
      <c r="N3999" s="1" t="s">
        <v>5297</v>
      </c>
      <c r="P3999" s="1" t="s">
        <v>5298</v>
      </c>
      <c r="Q3999" s="3">
        <v>1</v>
      </c>
      <c r="S3999" s="23" t="s">
        <v>5949</v>
      </c>
      <c r="W3999" s="45" t="str">
        <f>HYPERLINK("http://ictvonline.org/taxonomy/p/taxonomy-history?taxnode_id=201855731","ICTVonline=201855731")</f>
        <v>ICTVonline=201855731</v>
      </c>
      <c r="AA3999" s="1">
        <v>201850000</v>
      </c>
      <c r="AB3999" s="1">
        <v>34</v>
      </c>
    </row>
    <row r="4000" spans="1:28" x14ac:dyDescent="0.15">
      <c r="A4000" s="1">
        <v>10135</v>
      </c>
      <c r="L4000" s="1" t="s">
        <v>5236</v>
      </c>
      <c r="M4000" s="1" t="s">
        <v>5284</v>
      </c>
      <c r="N4000" s="1" t="s">
        <v>5299</v>
      </c>
      <c r="P4000" s="1" t="s">
        <v>5300</v>
      </c>
      <c r="Q4000" s="3">
        <v>0</v>
      </c>
      <c r="S4000" s="23" t="s">
        <v>5949</v>
      </c>
      <c r="W4000" s="45" t="str">
        <f>HYPERLINK("http://ictvonline.org/taxonomy/p/taxonomy-history?taxnode_id=201855733","ICTVonline=201855733")</f>
        <v>ICTVonline=201855733</v>
      </c>
      <c r="AA4000" s="1">
        <v>201850000</v>
      </c>
      <c r="AB4000" s="1">
        <v>34</v>
      </c>
    </row>
    <row r="4001" spans="1:28" x14ac:dyDescent="0.15">
      <c r="A4001" s="1">
        <v>10137</v>
      </c>
      <c r="L4001" s="1" t="s">
        <v>5236</v>
      </c>
      <c r="M4001" s="1" t="s">
        <v>5284</v>
      </c>
      <c r="N4001" s="1" t="s">
        <v>5299</v>
      </c>
      <c r="P4001" s="1" t="s">
        <v>6952</v>
      </c>
      <c r="Q4001" s="3">
        <v>0</v>
      </c>
      <c r="S4001" s="23" t="s">
        <v>5949</v>
      </c>
      <c r="T4001" s="23" t="s">
        <v>6499</v>
      </c>
      <c r="U4001" s="3">
        <v>34</v>
      </c>
      <c r="V4001" s="3" t="s">
        <v>6951</v>
      </c>
      <c r="W4001" s="45" t="str">
        <f>HYPERLINK("http://ictvonline.org/taxonomy/p/taxonomy-history?taxnode_id=201855734","ICTVonline=201855734")</f>
        <v>ICTVonline=201855734</v>
      </c>
      <c r="AA4001" s="1">
        <v>201850000</v>
      </c>
      <c r="AB4001" s="1">
        <v>34</v>
      </c>
    </row>
    <row r="4002" spans="1:28" x14ac:dyDescent="0.15">
      <c r="A4002" s="1">
        <v>10139</v>
      </c>
      <c r="L4002" s="1" t="s">
        <v>5236</v>
      </c>
      <c r="M4002" s="1" t="s">
        <v>5284</v>
      </c>
      <c r="N4002" s="1" t="s">
        <v>5299</v>
      </c>
      <c r="P4002" s="1" t="s">
        <v>5301</v>
      </c>
      <c r="Q4002" s="3">
        <v>1</v>
      </c>
      <c r="S4002" s="23" t="s">
        <v>5949</v>
      </c>
      <c r="W4002" s="45" t="str">
        <f>HYPERLINK("http://ictvonline.org/taxonomy/p/taxonomy-history?taxnode_id=201855735","ICTVonline=201855735")</f>
        <v>ICTVonline=201855735</v>
      </c>
      <c r="AA4002" s="1">
        <v>201850000</v>
      </c>
      <c r="AB4002" s="1">
        <v>34</v>
      </c>
    </row>
    <row r="4003" spans="1:28" x14ac:dyDescent="0.15">
      <c r="A4003" s="1">
        <v>10143</v>
      </c>
      <c r="L4003" s="1" t="s">
        <v>5236</v>
      </c>
      <c r="P4003" s="1" t="s">
        <v>5302</v>
      </c>
      <c r="Q4003" s="3">
        <v>0</v>
      </c>
      <c r="S4003" s="23" t="s">
        <v>5949</v>
      </c>
      <c r="W4003" s="45" t="str">
        <f>HYPERLINK("http://ictvonline.org/taxonomy/p/taxonomy-history?taxnode_id=201855738","ICTVonline=201855738")</f>
        <v>ICTVonline=201855738</v>
      </c>
      <c r="AA4003" s="1">
        <v>201850000</v>
      </c>
      <c r="AB4003" s="1">
        <v>34</v>
      </c>
    </row>
    <row r="4004" spans="1:28" x14ac:dyDescent="0.15">
      <c r="A4004" s="1">
        <v>10148</v>
      </c>
      <c r="L4004" s="1" t="s">
        <v>1062</v>
      </c>
      <c r="N4004" s="1" t="s">
        <v>1063</v>
      </c>
      <c r="P4004" s="1" t="s">
        <v>1064</v>
      </c>
      <c r="Q4004" s="3">
        <v>1</v>
      </c>
      <c r="S4004" s="23" t="s">
        <v>5949</v>
      </c>
      <c r="W4004" s="45" t="str">
        <f>HYPERLINK("http://ictvonline.org/taxonomy/p/taxonomy-history?taxnode_id=201852484","ICTVonline=201852484")</f>
        <v>ICTVonline=201852484</v>
      </c>
      <c r="AA4004" s="1">
        <v>201850000</v>
      </c>
      <c r="AB4004" s="1">
        <v>34</v>
      </c>
    </row>
    <row r="4005" spans="1:28" x14ac:dyDescent="0.15">
      <c r="A4005" s="1">
        <v>10154</v>
      </c>
      <c r="L4005" s="1" t="s">
        <v>309</v>
      </c>
      <c r="N4005" s="1" t="s">
        <v>310</v>
      </c>
      <c r="P4005" s="1" t="s">
        <v>1696</v>
      </c>
      <c r="Q4005" s="3">
        <v>1</v>
      </c>
      <c r="S4005" s="23" t="s">
        <v>5949</v>
      </c>
      <c r="W4005" s="45" t="str">
        <f>HYPERLINK("http://ictvonline.org/taxonomy/p/taxonomy-history?taxnode_id=201852488","ICTVonline=201852488")</f>
        <v>ICTVonline=201852488</v>
      </c>
      <c r="AA4005" s="1">
        <v>201850000</v>
      </c>
      <c r="AB4005" s="1">
        <v>34</v>
      </c>
    </row>
    <row r="4006" spans="1:28" x14ac:dyDescent="0.15">
      <c r="A4006" s="1">
        <v>10156</v>
      </c>
      <c r="L4006" s="1" t="s">
        <v>309</v>
      </c>
      <c r="N4006" s="1" t="s">
        <v>310</v>
      </c>
      <c r="P4006" s="1" t="s">
        <v>1697</v>
      </c>
      <c r="Q4006" s="3">
        <v>0</v>
      </c>
      <c r="S4006" s="23" t="s">
        <v>5949</v>
      </c>
      <c r="W4006" s="45" t="str">
        <f>HYPERLINK("http://ictvonline.org/taxonomy/p/taxonomy-history?taxnode_id=201852489","ICTVonline=201852489")</f>
        <v>ICTVonline=201852489</v>
      </c>
      <c r="AA4006" s="1">
        <v>201850000</v>
      </c>
      <c r="AB4006" s="1">
        <v>34</v>
      </c>
    </row>
    <row r="4007" spans="1:28" x14ac:dyDescent="0.15">
      <c r="A4007" s="1">
        <v>10158</v>
      </c>
      <c r="L4007" s="1" t="s">
        <v>309</v>
      </c>
      <c r="N4007" s="1" t="s">
        <v>310</v>
      </c>
      <c r="P4007" s="1" t="s">
        <v>1698</v>
      </c>
      <c r="Q4007" s="3">
        <v>0</v>
      </c>
      <c r="S4007" s="23" t="s">
        <v>5949</v>
      </c>
      <c r="W4007" s="45" t="str">
        <f>HYPERLINK("http://ictvonline.org/taxonomy/p/taxonomy-history?taxnode_id=201852490","ICTVonline=201852490")</f>
        <v>ICTVonline=201852490</v>
      </c>
      <c r="AA4007" s="1">
        <v>201850000</v>
      </c>
      <c r="AB4007" s="1">
        <v>34</v>
      </c>
    </row>
    <row r="4008" spans="1:28" x14ac:dyDescent="0.15">
      <c r="A4008" s="1">
        <v>10160</v>
      </c>
      <c r="L4008" s="1" t="s">
        <v>309</v>
      </c>
      <c r="N4008" s="1" t="s">
        <v>310</v>
      </c>
      <c r="P4008" s="1" t="s">
        <v>314</v>
      </c>
      <c r="Q4008" s="3">
        <v>0</v>
      </c>
      <c r="S4008" s="23" t="s">
        <v>5949</v>
      </c>
      <c r="W4008" s="45" t="str">
        <f>HYPERLINK("http://ictvonline.org/taxonomy/p/taxonomy-history?taxnode_id=201852491","ICTVonline=201852491")</f>
        <v>ICTVonline=201852491</v>
      </c>
      <c r="AA4008" s="1">
        <v>201850000</v>
      </c>
      <c r="AB4008" s="1">
        <v>34</v>
      </c>
    </row>
    <row r="4009" spans="1:28" x14ac:dyDescent="0.15">
      <c r="A4009" s="1">
        <v>10162</v>
      </c>
      <c r="L4009" s="1" t="s">
        <v>309</v>
      </c>
      <c r="N4009" s="1" t="s">
        <v>310</v>
      </c>
      <c r="P4009" s="1" t="s">
        <v>315</v>
      </c>
      <c r="Q4009" s="3">
        <v>0</v>
      </c>
      <c r="S4009" s="23" t="s">
        <v>5949</v>
      </c>
      <c r="W4009" s="45" t="str">
        <f>HYPERLINK("http://ictvonline.org/taxonomy/p/taxonomy-history?taxnode_id=201852492","ICTVonline=201852492")</f>
        <v>ICTVonline=201852492</v>
      </c>
      <c r="AA4009" s="1">
        <v>201850000</v>
      </c>
      <c r="AB4009" s="1">
        <v>34</v>
      </c>
    </row>
    <row r="4010" spans="1:28" x14ac:dyDescent="0.15">
      <c r="A4010" s="1">
        <v>10164</v>
      </c>
      <c r="L4010" s="1" t="s">
        <v>309</v>
      </c>
      <c r="N4010" s="1" t="s">
        <v>310</v>
      </c>
      <c r="P4010" s="1" t="s">
        <v>316</v>
      </c>
      <c r="Q4010" s="3">
        <v>0</v>
      </c>
      <c r="S4010" s="23" t="s">
        <v>5949</v>
      </c>
      <c r="W4010" s="45" t="str">
        <f>HYPERLINK("http://ictvonline.org/taxonomy/p/taxonomy-history?taxnode_id=201852493","ICTVonline=201852493")</f>
        <v>ICTVonline=201852493</v>
      </c>
      <c r="AA4010" s="1">
        <v>201850000</v>
      </c>
      <c r="AB4010" s="1">
        <v>34</v>
      </c>
    </row>
    <row r="4011" spans="1:28" x14ac:dyDescent="0.15">
      <c r="A4011" s="1">
        <v>10166</v>
      </c>
      <c r="L4011" s="1" t="s">
        <v>309</v>
      </c>
      <c r="N4011" s="1" t="s">
        <v>310</v>
      </c>
      <c r="P4011" s="1" t="s">
        <v>317</v>
      </c>
      <c r="Q4011" s="3">
        <v>0</v>
      </c>
      <c r="S4011" s="23" t="s">
        <v>5949</v>
      </c>
      <c r="W4011" s="45" t="str">
        <f>HYPERLINK("http://ictvonline.org/taxonomy/p/taxonomy-history?taxnode_id=201852494","ICTVonline=201852494")</f>
        <v>ICTVonline=201852494</v>
      </c>
      <c r="AA4011" s="1">
        <v>201850000</v>
      </c>
      <c r="AB4011" s="1">
        <v>34</v>
      </c>
    </row>
    <row r="4012" spans="1:28" x14ac:dyDescent="0.15">
      <c r="A4012" s="1">
        <v>10168</v>
      </c>
      <c r="L4012" s="1" t="s">
        <v>309</v>
      </c>
      <c r="N4012" s="1" t="s">
        <v>310</v>
      </c>
      <c r="P4012" s="1" t="s">
        <v>318</v>
      </c>
      <c r="Q4012" s="3">
        <v>0</v>
      </c>
      <c r="S4012" s="23" t="s">
        <v>5949</v>
      </c>
      <c r="W4012" s="45" t="str">
        <f>HYPERLINK("http://ictvonline.org/taxonomy/p/taxonomy-history?taxnode_id=201852495","ICTVonline=201852495")</f>
        <v>ICTVonline=201852495</v>
      </c>
      <c r="AA4012" s="1">
        <v>201850000</v>
      </c>
      <c r="AB4012" s="1">
        <v>34</v>
      </c>
    </row>
    <row r="4013" spans="1:28" x14ac:dyDescent="0.15">
      <c r="A4013" s="1">
        <v>10170</v>
      </c>
      <c r="L4013" s="1" t="s">
        <v>309</v>
      </c>
      <c r="N4013" s="1" t="s">
        <v>310</v>
      </c>
      <c r="P4013" s="1" t="s">
        <v>319</v>
      </c>
      <c r="Q4013" s="3">
        <v>0</v>
      </c>
      <c r="S4013" s="23" t="s">
        <v>5949</v>
      </c>
      <c r="W4013" s="45" t="str">
        <f>HYPERLINK("http://ictvonline.org/taxonomy/p/taxonomy-history?taxnode_id=201852496","ICTVonline=201852496")</f>
        <v>ICTVonline=201852496</v>
      </c>
      <c r="AA4013" s="1">
        <v>201850000</v>
      </c>
      <c r="AB4013" s="1">
        <v>34</v>
      </c>
    </row>
    <row r="4014" spans="1:28" x14ac:dyDescent="0.15">
      <c r="A4014" s="1">
        <v>10172</v>
      </c>
      <c r="L4014" s="1" t="s">
        <v>309</v>
      </c>
      <c r="N4014" s="1" t="s">
        <v>310</v>
      </c>
      <c r="P4014" s="1" t="s">
        <v>320</v>
      </c>
      <c r="Q4014" s="3">
        <v>0</v>
      </c>
      <c r="S4014" s="23" t="s">
        <v>5949</v>
      </c>
      <c r="W4014" s="45" t="str">
        <f>HYPERLINK("http://ictvonline.org/taxonomy/p/taxonomy-history?taxnode_id=201852497","ICTVonline=201852497")</f>
        <v>ICTVonline=201852497</v>
      </c>
      <c r="AA4014" s="1">
        <v>201850000</v>
      </c>
      <c r="AB4014" s="1">
        <v>34</v>
      </c>
    </row>
    <row r="4015" spans="1:28" x14ac:dyDescent="0.15">
      <c r="A4015" s="1">
        <v>10174</v>
      </c>
      <c r="L4015" s="1" t="s">
        <v>309</v>
      </c>
      <c r="N4015" s="1" t="s">
        <v>310</v>
      </c>
      <c r="P4015" s="1" t="s">
        <v>321</v>
      </c>
      <c r="Q4015" s="3">
        <v>0</v>
      </c>
      <c r="S4015" s="23" t="s">
        <v>5949</v>
      </c>
      <c r="W4015" s="45" t="str">
        <f>HYPERLINK("http://ictvonline.org/taxonomy/p/taxonomy-history?taxnode_id=201852498","ICTVonline=201852498")</f>
        <v>ICTVonline=201852498</v>
      </c>
      <c r="AA4015" s="1">
        <v>201850000</v>
      </c>
      <c r="AB4015" s="1">
        <v>34</v>
      </c>
    </row>
    <row r="4016" spans="1:28" x14ac:dyDescent="0.15">
      <c r="A4016" s="1">
        <v>10176</v>
      </c>
      <c r="L4016" s="1" t="s">
        <v>309</v>
      </c>
      <c r="N4016" s="1" t="s">
        <v>310</v>
      </c>
      <c r="P4016" s="1" t="s">
        <v>322</v>
      </c>
      <c r="Q4016" s="3">
        <v>0</v>
      </c>
      <c r="S4016" s="23" t="s">
        <v>5949</v>
      </c>
      <c r="W4016" s="45" t="str">
        <f>HYPERLINK("http://ictvonline.org/taxonomy/p/taxonomy-history?taxnode_id=201852499","ICTVonline=201852499")</f>
        <v>ICTVonline=201852499</v>
      </c>
      <c r="AA4016" s="1">
        <v>201850000</v>
      </c>
      <c r="AB4016" s="1">
        <v>34</v>
      </c>
    </row>
    <row r="4017" spans="1:28" x14ac:dyDescent="0.15">
      <c r="A4017" s="1">
        <v>10178</v>
      </c>
      <c r="L4017" s="1" t="s">
        <v>309</v>
      </c>
      <c r="N4017" s="1" t="s">
        <v>310</v>
      </c>
      <c r="P4017" s="1" t="s">
        <v>323</v>
      </c>
      <c r="Q4017" s="3">
        <v>0</v>
      </c>
      <c r="S4017" s="23" t="s">
        <v>5949</v>
      </c>
      <c r="W4017" s="45" t="str">
        <f>HYPERLINK("http://ictvonline.org/taxonomy/p/taxonomy-history?taxnode_id=201852500","ICTVonline=201852500")</f>
        <v>ICTVonline=201852500</v>
      </c>
      <c r="AA4017" s="1">
        <v>201850000</v>
      </c>
      <c r="AB4017" s="1">
        <v>34</v>
      </c>
    </row>
    <row r="4018" spans="1:28" x14ac:dyDescent="0.15">
      <c r="A4018" s="1">
        <v>10180</v>
      </c>
      <c r="L4018" s="1" t="s">
        <v>309</v>
      </c>
      <c r="N4018" s="1" t="s">
        <v>310</v>
      </c>
      <c r="P4018" s="1" t="s">
        <v>324</v>
      </c>
      <c r="Q4018" s="3">
        <v>0</v>
      </c>
      <c r="S4018" s="23" t="s">
        <v>5949</v>
      </c>
      <c r="W4018" s="45" t="str">
        <f>HYPERLINK("http://ictvonline.org/taxonomy/p/taxonomy-history?taxnode_id=201852501","ICTVonline=201852501")</f>
        <v>ICTVonline=201852501</v>
      </c>
      <c r="AA4018" s="1">
        <v>201850000</v>
      </c>
      <c r="AB4018" s="1">
        <v>34</v>
      </c>
    </row>
    <row r="4019" spans="1:28" x14ac:dyDescent="0.15">
      <c r="A4019" s="1">
        <v>10182</v>
      </c>
      <c r="L4019" s="1" t="s">
        <v>309</v>
      </c>
      <c r="N4019" s="1" t="s">
        <v>310</v>
      </c>
      <c r="P4019" s="1" t="s">
        <v>325</v>
      </c>
      <c r="Q4019" s="3">
        <v>0</v>
      </c>
      <c r="S4019" s="23" t="s">
        <v>5949</v>
      </c>
      <c r="W4019" s="45" t="str">
        <f>HYPERLINK("http://ictvonline.org/taxonomy/p/taxonomy-history?taxnode_id=201852502","ICTVonline=201852502")</f>
        <v>ICTVonline=201852502</v>
      </c>
      <c r="AA4019" s="1">
        <v>201850000</v>
      </c>
      <c r="AB4019" s="1">
        <v>34</v>
      </c>
    </row>
    <row r="4020" spans="1:28" x14ac:dyDescent="0.15">
      <c r="A4020" s="1">
        <v>10184</v>
      </c>
      <c r="L4020" s="1" t="s">
        <v>309</v>
      </c>
      <c r="N4020" s="1" t="s">
        <v>310</v>
      </c>
      <c r="P4020" s="1" t="s">
        <v>326</v>
      </c>
      <c r="Q4020" s="3">
        <v>0</v>
      </c>
      <c r="S4020" s="23" t="s">
        <v>5949</v>
      </c>
      <c r="W4020" s="45" t="str">
        <f>HYPERLINK("http://ictvonline.org/taxonomy/p/taxonomy-history?taxnode_id=201852503","ICTVonline=201852503")</f>
        <v>ICTVonline=201852503</v>
      </c>
      <c r="AA4020" s="1">
        <v>201850000</v>
      </c>
      <c r="AB4020" s="1">
        <v>34</v>
      </c>
    </row>
    <row r="4021" spans="1:28" x14ac:dyDescent="0.15">
      <c r="A4021" s="1">
        <v>10186</v>
      </c>
      <c r="L4021" s="1" t="s">
        <v>309</v>
      </c>
      <c r="N4021" s="1" t="s">
        <v>310</v>
      </c>
      <c r="P4021" s="1" t="s">
        <v>327</v>
      </c>
      <c r="Q4021" s="3">
        <v>0</v>
      </c>
      <c r="S4021" s="23" t="s">
        <v>5949</v>
      </c>
      <c r="W4021" s="45" t="str">
        <f>HYPERLINK("http://ictvonline.org/taxonomy/p/taxonomy-history?taxnode_id=201852504","ICTVonline=201852504")</f>
        <v>ICTVonline=201852504</v>
      </c>
      <c r="AA4021" s="1">
        <v>201850000</v>
      </c>
      <c r="AB4021" s="1">
        <v>34</v>
      </c>
    </row>
    <row r="4022" spans="1:28" x14ac:dyDescent="0.15">
      <c r="A4022" s="1">
        <v>10188</v>
      </c>
      <c r="L4022" s="1" t="s">
        <v>309</v>
      </c>
      <c r="N4022" s="1" t="s">
        <v>310</v>
      </c>
      <c r="P4022" s="1" t="s">
        <v>328</v>
      </c>
      <c r="Q4022" s="3">
        <v>0</v>
      </c>
      <c r="S4022" s="23" t="s">
        <v>5949</v>
      </c>
      <c r="W4022" s="45" t="str">
        <f>HYPERLINK("http://ictvonline.org/taxonomy/p/taxonomy-history?taxnode_id=201852505","ICTVonline=201852505")</f>
        <v>ICTVonline=201852505</v>
      </c>
      <c r="AA4022" s="1">
        <v>201850000</v>
      </c>
      <c r="AB4022" s="1">
        <v>34</v>
      </c>
    </row>
    <row r="4023" spans="1:28" x14ac:dyDescent="0.15">
      <c r="A4023" s="1">
        <v>10190</v>
      </c>
      <c r="L4023" s="1" t="s">
        <v>309</v>
      </c>
      <c r="N4023" s="1" t="s">
        <v>310</v>
      </c>
      <c r="P4023" s="1" t="s">
        <v>329</v>
      </c>
      <c r="Q4023" s="3">
        <v>0</v>
      </c>
      <c r="S4023" s="23" t="s">
        <v>5949</v>
      </c>
      <c r="W4023" s="45" t="str">
        <f>HYPERLINK("http://ictvonline.org/taxonomy/p/taxonomy-history?taxnode_id=201852506","ICTVonline=201852506")</f>
        <v>ICTVonline=201852506</v>
      </c>
      <c r="AA4023" s="1">
        <v>201850000</v>
      </c>
      <c r="AB4023" s="1">
        <v>34</v>
      </c>
    </row>
    <row r="4024" spans="1:28" x14ac:dyDescent="0.15">
      <c r="A4024" s="1">
        <v>10192</v>
      </c>
      <c r="L4024" s="1" t="s">
        <v>309</v>
      </c>
      <c r="N4024" s="1" t="s">
        <v>310</v>
      </c>
      <c r="P4024" s="1" t="s">
        <v>330</v>
      </c>
      <c r="Q4024" s="3">
        <v>0</v>
      </c>
      <c r="S4024" s="23" t="s">
        <v>5949</v>
      </c>
      <c r="W4024" s="45" t="str">
        <f>HYPERLINK("http://ictvonline.org/taxonomy/p/taxonomy-history?taxnode_id=201852507","ICTVonline=201852507")</f>
        <v>ICTVonline=201852507</v>
      </c>
      <c r="AA4024" s="1">
        <v>201850000</v>
      </c>
      <c r="AB4024" s="1">
        <v>34</v>
      </c>
    </row>
    <row r="4025" spans="1:28" x14ac:dyDescent="0.15">
      <c r="A4025" s="1">
        <v>10194</v>
      </c>
      <c r="L4025" s="1" t="s">
        <v>309</v>
      </c>
      <c r="N4025" s="1" t="s">
        <v>310</v>
      </c>
      <c r="P4025" s="1" t="s">
        <v>331</v>
      </c>
      <c r="Q4025" s="3">
        <v>0</v>
      </c>
      <c r="S4025" s="23" t="s">
        <v>5949</v>
      </c>
      <c r="W4025" s="45" t="str">
        <f>HYPERLINK("http://ictvonline.org/taxonomy/p/taxonomy-history?taxnode_id=201852508","ICTVonline=201852508")</f>
        <v>ICTVonline=201852508</v>
      </c>
      <c r="AA4025" s="1">
        <v>201850000</v>
      </c>
      <c r="AB4025" s="1">
        <v>34</v>
      </c>
    </row>
    <row r="4026" spans="1:28" x14ac:dyDescent="0.15">
      <c r="A4026" s="1">
        <v>10196</v>
      </c>
      <c r="L4026" s="1" t="s">
        <v>309</v>
      </c>
      <c r="N4026" s="1" t="s">
        <v>310</v>
      </c>
      <c r="P4026" s="1" t="s">
        <v>332</v>
      </c>
      <c r="Q4026" s="3">
        <v>0</v>
      </c>
      <c r="S4026" s="23" t="s">
        <v>5949</v>
      </c>
      <c r="W4026" s="45" t="str">
        <f>HYPERLINK("http://ictvonline.org/taxonomy/p/taxonomy-history?taxnode_id=201852509","ICTVonline=201852509")</f>
        <v>ICTVonline=201852509</v>
      </c>
      <c r="AA4026" s="1">
        <v>201850000</v>
      </c>
      <c r="AB4026" s="1">
        <v>34</v>
      </c>
    </row>
    <row r="4027" spans="1:28" x14ac:dyDescent="0.15">
      <c r="A4027" s="1">
        <v>10198</v>
      </c>
      <c r="L4027" s="1" t="s">
        <v>309</v>
      </c>
      <c r="N4027" s="1" t="s">
        <v>310</v>
      </c>
      <c r="P4027" s="1" t="s">
        <v>333</v>
      </c>
      <c r="Q4027" s="3">
        <v>0</v>
      </c>
      <c r="S4027" s="23" t="s">
        <v>5949</v>
      </c>
      <c r="W4027" s="45" t="str">
        <f>HYPERLINK("http://ictvonline.org/taxonomy/p/taxonomy-history?taxnode_id=201852510","ICTVonline=201852510")</f>
        <v>ICTVonline=201852510</v>
      </c>
      <c r="AA4027" s="1">
        <v>201850000</v>
      </c>
      <c r="AB4027" s="1">
        <v>34</v>
      </c>
    </row>
    <row r="4028" spans="1:28" x14ac:dyDescent="0.15">
      <c r="A4028" s="1">
        <v>10200</v>
      </c>
      <c r="L4028" s="1" t="s">
        <v>309</v>
      </c>
      <c r="N4028" s="1" t="s">
        <v>310</v>
      </c>
      <c r="P4028" s="1" t="s">
        <v>334</v>
      </c>
      <c r="Q4028" s="3">
        <v>0</v>
      </c>
      <c r="S4028" s="23" t="s">
        <v>5949</v>
      </c>
      <c r="W4028" s="45" t="str">
        <f>HYPERLINK("http://ictvonline.org/taxonomy/p/taxonomy-history?taxnode_id=201852511","ICTVonline=201852511")</f>
        <v>ICTVonline=201852511</v>
      </c>
      <c r="AA4028" s="1">
        <v>201850000</v>
      </c>
      <c r="AB4028" s="1">
        <v>34</v>
      </c>
    </row>
    <row r="4029" spans="1:28" x14ac:dyDescent="0.15">
      <c r="A4029" s="1">
        <v>10202</v>
      </c>
      <c r="L4029" s="1" t="s">
        <v>309</v>
      </c>
      <c r="N4029" s="1" t="s">
        <v>310</v>
      </c>
      <c r="P4029" s="1" t="s">
        <v>449</v>
      </c>
      <c r="Q4029" s="3">
        <v>0</v>
      </c>
      <c r="S4029" s="23" t="s">
        <v>5949</v>
      </c>
      <c r="W4029" s="45" t="str">
        <f>HYPERLINK("http://ictvonline.org/taxonomy/p/taxonomy-history?taxnode_id=201852512","ICTVonline=201852512")</f>
        <v>ICTVonline=201852512</v>
      </c>
      <c r="AA4029" s="1">
        <v>201850000</v>
      </c>
      <c r="AB4029" s="1">
        <v>34</v>
      </c>
    </row>
    <row r="4030" spans="1:28" x14ac:dyDescent="0.15">
      <c r="A4030" s="1">
        <v>10204</v>
      </c>
      <c r="L4030" s="1" t="s">
        <v>309</v>
      </c>
      <c r="N4030" s="1" t="s">
        <v>310</v>
      </c>
      <c r="P4030" s="1" t="s">
        <v>450</v>
      </c>
      <c r="Q4030" s="3">
        <v>0</v>
      </c>
      <c r="S4030" s="23" t="s">
        <v>5949</v>
      </c>
      <c r="W4030" s="45" t="str">
        <f>HYPERLINK("http://ictvonline.org/taxonomy/p/taxonomy-history?taxnode_id=201852513","ICTVonline=201852513")</f>
        <v>ICTVonline=201852513</v>
      </c>
      <c r="AA4030" s="1">
        <v>201850000</v>
      </c>
      <c r="AB4030" s="1">
        <v>34</v>
      </c>
    </row>
    <row r="4031" spans="1:28" x14ac:dyDescent="0.15">
      <c r="A4031" s="1">
        <v>10206</v>
      </c>
      <c r="L4031" s="1" t="s">
        <v>309</v>
      </c>
      <c r="N4031" s="1" t="s">
        <v>310</v>
      </c>
      <c r="P4031" s="1" t="s">
        <v>451</v>
      </c>
      <c r="Q4031" s="3">
        <v>0</v>
      </c>
      <c r="S4031" s="23" t="s">
        <v>5949</v>
      </c>
      <c r="W4031" s="45" t="str">
        <f>HYPERLINK("http://ictvonline.org/taxonomy/p/taxonomy-history?taxnode_id=201852514","ICTVonline=201852514")</f>
        <v>ICTVonline=201852514</v>
      </c>
      <c r="AA4031" s="1">
        <v>201850000</v>
      </c>
      <c r="AB4031" s="1">
        <v>34</v>
      </c>
    </row>
    <row r="4032" spans="1:28" x14ac:dyDescent="0.15">
      <c r="A4032" s="1">
        <v>10208</v>
      </c>
      <c r="L4032" s="1" t="s">
        <v>309</v>
      </c>
      <c r="N4032" s="1" t="s">
        <v>310</v>
      </c>
      <c r="P4032" s="1" t="s">
        <v>452</v>
      </c>
      <c r="Q4032" s="3">
        <v>0</v>
      </c>
      <c r="S4032" s="23" t="s">
        <v>5949</v>
      </c>
      <c r="W4032" s="45" t="str">
        <f>HYPERLINK("http://ictvonline.org/taxonomy/p/taxonomy-history?taxnode_id=201852515","ICTVonline=201852515")</f>
        <v>ICTVonline=201852515</v>
      </c>
      <c r="AA4032" s="1">
        <v>201850000</v>
      </c>
      <c r="AB4032" s="1">
        <v>34</v>
      </c>
    </row>
    <row r="4033" spans="1:28" x14ac:dyDescent="0.15">
      <c r="A4033" s="1">
        <v>10210</v>
      </c>
      <c r="L4033" s="1" t="s">
        <v>309</v>
      </c>
      <c r="N4033" s="1" t="s">
        <v>310</v>
      </c>
      <c r="P4033" s="1" t="s">
        <v>1472</v>
      </c>
      <c r="Q4033" s="3">
        <v>0</v>
      </c>
      <c r="S4033" s="23" t="s">
        <v>5949</v>
      </c>
      <c r="W4033" s="45" t="str">
        <f>HYPERLINK("http://ictvonline.org/taxonomy/p/taxonomy-history?taxnode_id=201852516","ICTVonline=201852516")</f>
        <v>ICTVonline=201852516</v>
      </c>
      <c r="AA4033" s="1">
        <v>201850000</v>
      </c>
      <c r="AB4033" s="1">
        <v>34</v>
      </c>
    </row>
    <row r="4034" spans="1:28" x14ac:dyDescent="0.15">
      <c r="A4034" s="1">
        <v>10214</v>
      </c>
      <c r="L4034" s="1" t="s">
        <v>309</v>
      </c>
      <c r="N4034" s="1" t="s">
        <v>311</v>
      </c>
      <c r="P4034" s="1" t="s">
        <v>1871</v>
      </c>
      <c r="Q4034" s="3">
        <v>1</v>
      </c>
      <c r="S4034" s="23" t="s">
        <v>5949</v>
      </c>
      <c r="W4034" s="45" t="str">
        <f>HYPERLINK("http://ictvonline.org/taxonomy/p/taxonomy-history?taxnode_id=201852518","ICTVonline=201852518")</f>
        <v>ICTVonline=201852518</v>
      </c>
      <c r="AA4034" s="1">
        <v>201850000</v>
      </c>
      <c r="AB4034" s="1">
        <v>34</v>
      </c>
    </row>
    <row r="4035" spans="1:28" x14ac:dyDescent="0.15">
      <c r="A4035" s="1">
        <v>10216</v>
      </c>
      <c r="L4035" s="1" t="s">
        <v>309</v>
      </c>
      <c r="N4035" s="1" t="s">
        <v>311</v>
      </c>
      <c r="P4035" s="1" t="s">
        <v>1849</v>
      </c>
      <c r="Q4035" s="3">
        <v>0</v>
      </c>
      <c r="S4035" s="23" t="s">
        <v>5949</v>
      </c>
      <c r="W4035" s="45" t="str">
        <f>HYPERLINK("http://ictvonline.org/taxonomy/p/taxonomy-history?taxnode_id=201852519","ICTVonline=201852519")</f>
        <v>ICTVonline=201852519</v>
      </c>
      <c r="AA4035" s="1">
        <v>201850000</v>
      </c>
      <c r="AB4035" s="1">
        <v>34</v>
      </c>
    </row>
    <row r="4036" spans="1:28" x14ac:dyDescent="0.15">
      <c r="A4036" s="1">
        <v>10218</v>
      </c>
      <c r="L4036" s="1" t="s">
        <v>309</v>
      </c>
      <c r="N4036" s="1" t="s">
        <v>311</v>
      </c>
      <c r="P4036" s="1" t="s">
        <v>1850</v>
      </c>
      <c r="Q4036" s="3">
        <v>0</v>
      </c>
      <c r="S4036" s="23" t="s">
        <v>5949</v>
      </c>
      <c r="W4036" s="45" t="str">
        <f>HYPERLINK("http://ictvonline.org/taxonomy/p/taxonomy-history?taxnode_id=201852520","ICTVonline=201852520")</f>
        <v>ICTVonline=201852520</v>
      </c>
      <c r="AA4036" s="1">
        <v>201850000</v>
      </c>
      <c r="AB4036" s="1">
        <v>34</v>
      </c>
    </row>
    <row r="4037" spans="1:28" x14ac:dyDescent="0.15">
      <c r="A4037" s="1">
        <v>10220</v>
      </c>
      <c r="L4037" s="1" t="s">
        <v>309</v>
      </c>
      <c r="N4037" s="1" t="s">
        <v>311</v>
      </c>
      <c r="P4037" s="1" t="s">
        <v>1851</v>
      </c>
      <c r="Q4037" s="3">
        <v>0</v>
      </c>
      <c r="S4037" s="23" t="s">
        <v>5949</v>
      </c>
      <c r="W4037" s="45" t="str">
        <f>HYPERLINK("http://ictvonline.org/taxonomy/p/taxonomy-history?taxnode_id=201852521","ICTVonline=201852521")</f>
        <v>ICTVonline=201852521</v>
      </c>
      <c r="AA4037" s="1">
        <v>201850000</v>
      </c>
      <c r="AB4037" s="1">
        <v>34</v>
      </c>
    </row>
    <row r="4038" spans="1:28" x14ac:dyDescent="0.15">
      <c r="A4038" s="1">
        <v>10222</v>
      </c>
      <c r="L4038" s="1" t="s">
        <v>309</v>
      </c>
      <c r="N4038" s="1" t="s">
        <v>311</v>
      </c>
      <c r="P4038" s="1" t="s">
        <v>1874</v>
      </c>
      <c r="Q4038" s="3">
        <v>0</v>
      </c>
      <c r="S4038" s="23" t="s">
        <v>5949</v>
      </c>
      <c r="W4038" s="45" t="str">
        <f>HYPERLINK("http://ictvonline.org/taxonomy/p/taxonomy-history?taxnode_id=201852522","ICTVonline=201852522")</f>
        <v>ICTVonline=201852522</v>
      </c>
      <c r="AA4038" s="1">
        <v>201850000</v>
      </c>
      <c r="AB4038" s="1">
        <v>34</v>
      </c>
    </row>
    <row r="4039" spans="1:28" x14ac:dyDescent="0.15">
      <c r="A4039" s="1">
        <v>10224</v>
      </c>
      <c r="L4039" s="1" t="s">
        <v>309</v>
      </c>
      <c r="N4039" s="1" t="s">
        <v>311</v>
      </c>
      <c r="P4039" s="1" t="s">
        <v>1875</v>
      </c>
      <c r="Q4039" s="3">
        <v>0</v>
      </c>
      <c r="S4039" s="23" t="s">
        <v>5949</v>
      </c>
      <c r="W4039" s="45" t="str">
        <f>HYPERLINK("http://ictvonline.org/taxonomy/p/taxonomy-history?taxnode_id=201852523","ICTVonline=201852523")</f>
        <v>ICTVonline=201852523</v>
      </c>
      <c r="AA4039" s="1">
        <v>201850000</v>
      </c>
      <c r="AB4039" s="1">
        <v>34</v>
      </c>
    </row>
    <row r="4040" spans="1:28" x14ac:dyDescent="0.15">
      <c r="A4040" s="1">
        <v>10226</v>
      </c>
      <c r="L4040" s="1" t="s">
        <v>309</v>
      </c>
      <c r="N4040" s="1" t="s">
        <v>311</v>
      </c>
      <c r="P4040" s="1" t="s">
        <v>1562</v>
      </c>
      <c r="Q4040" s="3">
        <v>0</v>
      </c>
      <c r="S4040" s="23" t="s">
        <v>5949</v>
      </c>
      <c r="W4040" s="45" t="str">
        <f>HYPERLINK("http://ictvonline.org/taxonomy/p/taxonomy-history?taxnode_id=201852524","ICTVonline=201852524")</f>
        <v>ICTVonline=201852524</v>
      </c>
      <c r="AA4040" s="1">
        <v>201850000</v>
      </c>
      <c r="AB4040" s="1">
        <v>34</v>
      </c>
    </row>
    <row r="4041" spans="1:28" x14ac:dyDescent="0.15">
      <c r="A4041" s="1">
        <v>10228</v>
      </c>
      <c r="L4041" s="1" t="s">
        <v>309</v>
      </c>
      <c r="N4041" s="1" t="s">
        <v>311</v>
      </c>
      <c r="P4041" s="1" t="s">
        <v>1563</v>
      </c>
      <c r="Q4041" s="3">
        <v>0</v>
      </c>
      <c r="S4041" s="23" t="s">
        <v>5949</v>
      </c>
      <c r="W4041" s="45" t="str">
        <f>HYPERLINK("http://ictvonline.org/taxonomy/p/taxonomy-history?taxnode_id=201852525","ICTVonline=201852525")</f>
        <v>ICTVonline=201852525</v>
      </c>
      <c r="AA4041" s="1">
        <v>201850000</v>
      </c>
      <c r="AB4041" s="1">
        <v>34</v>
      </c>
    </row>
    <row r="4042" spans="1:28" x14ac:dyDescent="0.15">
      <c r="A4042" s="1">
        <v>10230</v>
      </c>
      <c r="L4042" s="1" t="s">
        <v>309</v>
      </c>
      <c r="N4042" s="1" t="s">
        <v>311</v>
      </c>
      <c r="P4042" s="1" t="s">
        <v>1564</v>
      </c>
      <c r="Q4042" s="3">
        <v>0</v>
      </c>
      <c r="S4042" s="23" t="s">
        <v>5949</v>
      </c>
      <c r="W4042" s="45" t="str">
        <f>HYPERLINK("http://ictvonline.org/taxonomy/p/taxonomy-history?taxnode_id=201852526","ICTVonline=201852526")</f>
        <v>ICTVonline=201852526</v>
      </c>
      <c r="AA4042" s="1">
        <v>201850000</v>
      </c>
      <c r="AB4042" s="1">
        <v>34</v>
      </c>
    </row>
    <row r="4043" spans="1:28" x14ac:dyDescent="0.15">
      <c r="A4043" s="1">
        <v>10232</v>
      </c>
      <c r="L4043" s="1" t="s">
        <v>309</v>
      </c>
      <c r="N4043" s="1" t="s">
        <v>311</v>
      </c>
      <c r="P4043" s="1" t="s">
        <v>22</v>
      </c>
      <c r="Q4043" s="3">
        <v>0</v>
      </c>
      <c r="S4043" s="23" t="s">
        <v>5949</v>
      </c>
      <c r="W4043" s="45" t="str">
        <f>HYPERLINK("http://ictvonline.org/taxonomy/p/taxonomy-history?taxnode_id=201852527","ICTVonline=201852527")</f>
        <v>ICTVonline=201852527</v>
      </c>
      <c r="AA4043" s="1">
        <v>201850000</v>
      </c>
      <c r="AB4043" s="1">
        <v>34</v>
      </c>
    </row>
    <row r="4044" spans="1:28" x14ac:dyDescent="0.15">
      <c r="A4044" s="1">
        <v>10234</v>
      </c>
      <c r="L4044" s="1" t="s">
        <v>309</v>
      </c>
      <c r="N4044" s="1" t="s">
        <v>311</v>
      </c>
      <c r="P4044" s="1" t="s">
        <v>23</v>
      </c>
      <c r="Q4044" s="3">
        <v>0</v>
      </c>
      <c r="S4044" s="23" t="s">
        <v>5949</v>
      </c>
      <c r="W4044" s="45" t="str">
        <f>HYPERLINK("http://ictvonline.org/taxonomy/p/taxonomy-history?taxnode_id=201852528","ICTVonline=201852528")</f>
        <v>ICTVonline=201852528</v>
      </c>
      <c r="AA4044" s="1">
        <v>201850000</v>
      </c>
      <c r="AB4044" s="1">
        <v>34</v>
      </c>
    </row>
    <row r="4045" spans="1:28" x14ac:dyDescent="0.15">
      <c r="A4045" s="1">
        <v>10236</v>
      </c>
      <c r="L4045" s="1" t="s">
        <v>309</v>
      </c>
      <c r="N4045" s="1" t="s">
        <v>311</v>
      </c>
      <c r="P4045" s="1" t="s">
        <v>24</v>
      </c>
      <c r="Q4045" s="3">
        <v>0</v>
      </c>
      <c r="S4045" s="23" t="s">
        <v>5949</v>
      </c>
      <c r="W4045" s="45" t="str">
        <f>HYPERLINK("http://ictvonline.org/taxonomy/p/taxonomy-history?taxnode_id=201852529","ICTVonline=201852529")</f>
        <v>ICTVonline=201852529</v>
      </c>
      <c r="AA4045" s="1">
        <v>201850000</v>
      </c>
      <c r="AB4045" s="1">
        <v>34</v>
      </c>
    </row>
    <row r="4046" spans="1:28" x14ac:dyDescent="0.15">
      <c r="A4046" s="1">
        <v>10240</v>
      </c>
      <c r="L4046" s="1" t="s">
        <v>309</v>
      </c>
      <c r="N4046" s="1" t="s">
        <v>313</v>
      </c>
      <c r="P4046" s="1" t="s">
        <v>1569</v>
      </c>
      <c r="Q4046" s="3">
        <v>1</v>
      </c>
      <c r="S4046" s="23" t="s">
        <v>5949</v>
      </c>
      <c r="W4046" s="45" t="str">
        <f>HYPERLINK("http://ictvonline.org/taxonomy/p/taxonomy-history?taxnode_id=201852531","ICTVonline=201852531")</f>
        <v>ICTVonline=201852531</v>
      </c>
      <c r="AA4046" s="1">
        <v>201850000</v>
      </c>
      <c r="AB4046" s="1">
        <v>34</v>
      </c>
    </row>
    <row r="4047" spans="1:28" x14ac:dyDescent="0.15">
      <c r="A4047" s="1">
        <v>10244</v>
      </c>
      <c r="L4047" s="1" t="s">
        <v>309</v>
      </c>
      <c r="N4047" s="1" t="s">
        <v>1691</v>
      </c>
      <c r="P4047" s="1" t="s">
        <v>490</v>
      </c>
      <c r="Q4047" s="3">
        <v>1</v>
      </c>
      <c r="S4047" s="23" t="s">
        <v>5949</v>
      </c>
      <c r="W4047" s="45" t="str">
        <f>HYPERLINK("http://ictvonline.org/taxonomy/p/taxonomy-history?taxnode_id=201852533","ICTVonline=201852533")</f>
        <v>ICTVonline=201852533</v>
      </c>
      <c r="AA4047" s="1">
        <v>201850000</v>
      </c>
      <c r="AB4047" s="1">
        <v>34</v>
      </c>
    </row>
    <row r="4048" spans="1:28" x14ac:dyDescent="0.15">
      <c r="A4048" s="1">
        <v>10248</v>
      </c>
      <c r="L4048" s="1" t="s">
        <v>309</v>
      </c>
      <c r="N4048" s="1" t="s">
        <v>1693</v>
      </c>
      <c r="P4048" s="1" t="s">
        <v>1572</v>
      </c>
      <c r="Q4048" s="3">
        <v>1</v>
      </c>
      <c r="S4048" s="23" t="s">
        <v>5949</v>
      </c>
      <c r="W4048" s="45" t="str">
        <f>HYPERLINK("http://ictvonline.org/taxonomy/p/taxonomy-history?taxnode_id=201852535","ICTVonline=201852535")</f>
        <v>ICTVonline=201852535</v>
      </c>
      <c r="AA4048" s="1">
        <v>201850000</v>
      </c>
      <c r="AB4048" s="1">
        <v>34</v>
      </c>
    </row>
    <row r="4049" spans="1:28" x14ac:dyDescent="0.15">
      <c r="A4049" s="1">
        <v>10250</v>
      </c>
      <c r="L4049" s="1" t="s">
        <v>309</v>
      </c>
      <c r="N4049" s="1" t="s">
        <v>1693</v>
      </c>
      <c r="P4049" s="1" t="s">
        <v>25</v>
      </c>
      <c r="Q4049" s="3">
        <v>0</v>
      </c>
      <c r="S4049" s="23" t="s">
        <v>5949</v>
      </c>
      <c r="W4049" s="45" t="str">
        <f>HYPERLINK("http://ictvonline.org/taxonomy/p/taxonomy-history?taxnode_id=201852536","ICTVonline=201852536")</f>
        <v>ICTVonline=201852536</v>
      </c>
      <c r="AA4049" s="1">
        <v>201850000</v>
      </c>
      <c r="AB4049" s="1">
        <v>34</v>
      </c>
    </row>
    <row r="4050" spans="1:28" x14ac:dyDescent="0.15">
      <c r="A4050" s="1">
        <v>10254</v>
      </c>
      <c r="L4050" s="1" t="s">
        <v>309</v>
      </c>
      <c r="N4050" s="1" t="s">
        <v>312</v>
      </c>
      <c r="P4050" s="1" t="s">
        <v>1879</v>
      </c>
      <c r="Q4050" s="3">
        <v>1</v>
      </c>
      <c r="S4050" s="23" t="s">
        <v>5949</v>
      </c>
      <c r="W4050" s="45" t="str">
        <f>HYPERLINK("http://ictvonline.org/taxonomy/p/taxonomy-history?taxnode_id=201852538","ICTVonline=201852538")</f>
        <v>ICTVonline=201852538</v>
      </c>
      <c r="AA4050" s="1">
        <v>201850000</v>
      </c>
      <c r="AB4050" s="1">
        <v>34</v>
      </c>
    </row>
    <row r="4051" spans="1:28" x14ac:dyDescent="0.15">
      <c r="A4051" s="1">
        <v>10256</v>
      </c>
      <c r="L4051" s="1" t="s">
        <v>309</v>
      </c>
      <c r="N4051" s="1" t="s">
        <v>312</v>
      </c>
      <c r="P4051" s="1" t="s">
        <v>1880</v>
      </c>
      <c r="Q4051" s="3">
        <v>0</v>
      </c>
      <c r="S4051" s="23" t="s">
        <v>5949</v>
      </c>
      <c r="W4051" s="45" t="str">
        <f>HYPERLINK("http://ictvonline.org/taxonomy/p/taxonomy-history?taxnode_id=201852539","ICTVonline=201852539")</f>
        <v>ICTVonline=201852539</v>
      </c>
      <c r="AA4051" s="1">
        <v>201850000</v>
      </c>
      <c r="AB4051" s="1">
        <v>34</v>
      </c>
    </row>
    <row r="4052" spans="1:28" x14ac:dyDescent="0.15">
      <c r="A4052" s="1">
        <v>10258</v>
      </c>
      <c r="L4052" s="1" t="s">
        <v>309</v>
      </c>
      <c r="N4052" s="1" t="s">
        <v>312</v>
      </c>
      <c r="P4052" s="1" t="s">
        <v>32</v>
      </c>
      <c r="Q4052" s="3">
        <v>0</v>
      </c>
      <c r="S4052" s="23" t="s">
        <v>5949</v>
      </c>
      <c r="W4052" s="45" t="str">
        <f>HYPERLINK("http://ictvonline.org/taxonomy/p/taxonomy-history?taxnode_id=201852540","ICTVonline=201852540")</f>
        <v>ICTVonline=201852540</v>
      </c>
      <c r="AA4052" s="1">
        <v>201850000</v>
      </c>
      <c r="AB4052" s="1">
        <v>34</v>
      </c>
    </row>
    <row r="4053" spans="1:28" x14ac:dyDescent="0.15">
      <c r="A4053" s="1">
        <v>10260</v>
      </c>
      <c r="L4053" s="1" t="s">
        <v>309</v>
      </c>
      <c r="N4053" s="1" t="s">
        <v>312</v>
      </c>
      <c r="P4053" s="1" t="s">
        <v>33</v>
      </c>
      <c r="Q4053" s="3">
        <v>0</v>
      </c>
      <c r="S4053" s="23" t="s">
        <v>5949</v>
      </c>
      <c r="W4053" s="45" t="str">
        <f>HYPERLINK("http://ictvonline.org/taxonomy/p/taxonomy-history?taxnode_id=201852541","ICTVonline=201852541")</f>
        <v>ICTVonline=201852541</v>
      </c>
      <c r="AA4053" s="1">
        <v>201850000</v>
      </c>
      <c r="AB4053" s="1">
        <v>34</v>
      </c>
    </row>
    <row r="4054" spans="1:28" x14ac:dyDescent="0.15">
      <c r="A4054" s="1">
        <v>10262</v>
      </c>
      <c r="L4054" s="1" t="s">
        <v>309</v>
      </c>
      <c r="N4054" s="1" t="s">
        <v>312</v>
      </c>
      <c r="P4054" s="1" t="s">
        <v>34</v>
      </c>
      <c r="Q4054" s="3">
        <v>0</v>
      </c>
      <c r="S4054" s="23" t="s">
        <v>5949</v>
      </c>
      <c r="W4054" s="45" t="str">
        <f>HYPERLINK("http://ictvonline.org/taxonomy/p/taxonomy-history?taxnode_id=201852542","ICTVonline=201852542")</f>
        <v>ICTVonline=201852542</v>
      </c>
      <c r="AA4054" s="1">
        <v>201850000</v>
      </c>
      <c r="AB4054" s="1">
        <v>34</v>
      </c>
    </row>
    <row r="4055" spans="1:28" x14ac:dyDescent="0.15">
      <c r="A4055" s="1">
        <v>10264</v>
      </c>
      <c r="L4055" s="1" t="s">
        <v>309</v>
      </c>
      <c r="N4055" s="1" t="s">
        <v>312</v>
      </c>
      <c r="P4055" s="1" t="s">
        <v>35</v>
      </c>
      <c r="Q4055" s="3">
        <v>0</v>
      </c>
      <c r="S4055" s="23" t="s">
        <v>5949</v>
      </c>
      <c r="W4055" s="45" t="str">
        <f>HYPERLINK("http://ictvonline.org/taxonomy/p/taxonomy-history?taxnode_id=201852543","ICTVonline=201852543")</f>
        <v>ICTVonline=201852543</v>
      </c>
      <c r="AA4055" s="1">
        <v>201850000</v>
      </c>
      <c r="AB4055" s="1">
        <v>34</v>
      </c>
    </row>
    <row r="4056" spans="1:28" x14ac:dyDescent="0.15">
      <c r="A4056" s="1">
        <v>10266</v>
      </c>
      <c r="L4056" s="1" t="s">
        <v>309</v>
      </c>
      <c r="N4056" s="1" t="s">
        <v>312</v>
      </c>
      <c r="P4056" s="1" t="s">
        <v>36</v>
      </c>
      <c r="Q4056" s="3">
        <v>0</v>
      </c>
      <c r="S4056" s="23" t="s">
        <v>5949</v>
      </c>
      <c r="W4056" s="45" t="str">
        <f>HYPERLINK("http://ictvonline.org/taxonomy/p/taxonomy-history?taxnode_id=201852544","ICTVonline=201852544")</f>
        <v>ICTVonline=201852544</v>
      </c>
      <c r="AA4056" s="1">
        <v>201850000</v>
      </c>
      <c r="AB4056" s="1">
        <v>34</v>
      </c>
    </row>
    <row r="4057" spans="1:28" x14ac:dyDescent="0.15">
      <c r="A4057" s="1">
        <v>10268</v>
      </c>
      <c r="L4057" s="1" t="s">
        <v>309</v>
      </c>
      <c r="N4057" s="1" t="s">
        <v>312</v>
      </c>
      <c r="P4057" s="1" t="s">
        <v>37</v>
      </c>
      <c r="Q4057" s="3">
        <v>0</v>
      </c>
      <c r="S4057" s="23" t="s">
        <v>5949</v>
      </c>
      <c r="W4057" s="45" t="str">
        <f>HYPERLINK("http://ictvonline.org/taxonomy/p/taxonomy-history?taxnode_id=201852545","ICTVonline=201852545")</f>
        <v>ICTVonline=201852545</v>
      </c>
      <c r="AA4057" s="1">
        <v>201850000</v>
      </c>
      <c r="AB4057" s="1">
        <v>34</v>
      </c>
    </row>
    <row r="4058" spans="1:28" x14ac:dyDescent="0.15">
      <c r="A4058" s="1">
        <v>10270</v>
      </c>
      <c r="L4058" s="1" t="s">
        <v>309</v>
      </c>
      <c r="N4058" s="1" t="s">
        <v>312</v>
      </c>
      <c r="P4058" s="1" t="s">
        <v>38</v>
      </c>
      <c r="Q4058" s="3">
        <v>0</v>
      </c>
      <c r="S4058" s="23" t="s">
        <v>5949</v>
      </c>
      <c r="W4058" s="45" t="str">
        <f>HYPERLINK("http://ictvonline.org/taxonomy/p/taxonomy-history?taxnode_id=201852546","ICTVonline=201852546")</f>
        <v>ICTVonline=201852546</v>
      </c>
      <c r="AA4058" s="1">
        <v>201850000</v>
      </c>
      <c r="AB4058" s="1">
        <v>34</v>
      </c>
    </row>
    <row r="4059" spans="1:28" x14ac:dyDescent="0.15">
      <c r="A4059" s="1">
        <v>10272</v>
      </c>
      <c r="L4059" s="1" t="s">
        <v>309</v>
      </c>
      <c r="N4059" s="1" t="s">
        <v>312</v>
      </c>
      <c r="P4059" s="1" t="s">
        <v>26</v>
      </c>
      <c r="Q4059" s="3">
        <v>0</v>
      </c>
      <c r="S4059" s="23" t="s">
        <v>5949</v>
      </c>
      <c r="W4059" s="45" t="str">
        <f>HYPERLINK("http://ictvonline.org/taxonomy/p/taxonomy-history?taxnode_id=201852547","ICTVonline=201852547")</f>
        <v>ICTVonline=201852547</v>
      </c>
      <c r="AA4059" s="1">
        <v>201850000</v>
      </c>
      <c r="AB4059" s="1">
        <v>34</v>
      </c>
    </row>
    <row r="4060" spans="1:28" x14ac:dyDescent="0.15">
      <c r="A4060" s="1">
        <v>10274</v>
      </c>
      <c r="L4060" s="1" t="s">
        <v>309</v>
      </c>
      <c r="N4060" s="1" t="s">
        <v>312</v>
      </c>
      <c r="P4060" s="1" t="s">
        <v>27</v>
      </c>
      <c r="Q4060" s="3">
        <v>0</v>
      </c>
      <c r="S4060" s="23" t="s">
        <v>5949</v>
      </c>
      <c r="W4060" s="45" t="str">
        <f>HYPERLINK("http://ictvonline.org/taxonomy/p/taxonomy-history?taxnode_id=201852548","ICTVonline=201852548")</f>
        <v>ICTVonline=201852548</v>
      </c>
      <c r="AA4060" s="1">
        <v>201850000</v>
      </c>
      <c r="AB4060" s="1">
        <v>34</v>
      </c>
    </row>
    <row r="4061" spans="1:28" x14ac:dyDescent="0.15">
      <c r="A4061" s="1">
        <v>10276</v>
      </c>
      <c r="L4061" s="1" t="s">
        <v>309</v>
      </c>
      <c r="N4061" s="1" t="s">
        <v>312</v>
      </c>
      <c r="P4061" s="1" t="s">
        <v>28</v>
      </c>
      <c r="Q4061" s="3">
        <v>0</v>
      </c>
      <c r="S4061" s="23" t="s">
        <v>5949</v>
      </c>
      <c r="W4061" s="45" t="str">
        <f>HYPERLINK("http://ictvonline.org/taxonomy/p/taxonomy-history?taxnode_id=201852549","ICTVonline=201852549")</f>
        <v>ICTVonline=201852549</v>
      </c>
      <c r="AA4061" s="1">
        <v>201850000</v>
      </c>
      <c r="AB4061" s="1">
        <v>34</v>
      </c>
    </row>
    <row r="4062" spans="1:28" x14ac:dyDescent="0.15">
      <c r="A4062" s="1">
        <v>10278</v>
      </c>
      <c r="L4062" s="1" t="s">
        <v>309</v>
      </c>
      <c r="N4062" s="1" t="s">
        <v>312</v>
      </c>
      <c r="P4062" s="1" t="s">
        <v>29</v>
      </c>
      <c r="Q4062" s="3">
        <v>0</v>
      </c>
      <c r="S4062" s="23" t="s">
        <v>5949</v>
      </c>
      <c r="W4062" s="45" t="str">
        <f>HYPERLINK("http://ictvonline.org/taxonomy/p/taxonomy-history?taxnode_id=201852550","ICTVonline=201852550")</f>
        <v>ICTVonline=201852550</v>
      </c>
      <c r="AA4062" s="1">
        <v>201850000</v>
      </c>
      <c r="AB4062" s="1">
        <v>34</v>
      </c>
    </row>
    <row r="4063" spans="1:28" x14ac:dyDescent="0.15">
      <c r="A4063" s="1">
        <v>10280</v>
      </c>
      <c r="L4063" s="1" t="s">
        <v>309</v>
      </c>
      <c r="N4063" s="1" t="s">
        <v>312</v>
      </c>
      <c r="P4063" s="1" t="s">
        <v>30</v>
      </c>
      <c r="Q4063" s="3">
        <v>0</v>
      </c>
      <c r="S4063" s="23" t="s">
        <v>5949</v>
      </c>
      <c r="W4063" s="45" t="str">
        <f>HYPERLINK("http://ictvonline.org/taxonomy/p/taxonomy-history?taxnode_id=201852551","ICTVonline=201852551")</f>
        <v>ICTVonline=201852551</v>
      </c>
      <c r="AA4063" s="1">
        <v>201850000</v>
      </c>
      <c r="AB4063" s="1">
        <v>34</v>
      </c>
    </row>
    <row r="4064" spans="1:28" x14ac:dyDescent="0.15">
      <c r="A4064" s="1">
        <v>10282</v>
      </c>
      <c r="L4064" s="1" t="s">
        <v>309</v>
      </c>
      <c r="N4064" s="1" t="s">
        <v>312</v>
      </c>
      <c r="P4064" s="1" t="s">
        <v>31</v>
      </c>
      <c r="Q4064" s="3">
        <v>0</v>
      </c>
      <c r="S4064" s="23" t="s">
        <v>5949</v>
      </c>
      <c r="W4064" s="45" t="str">
        <f>HYPERLINK("http://ictvonline.org/taxonomy/p/taxonomy-history?taxnode_id=201852552","ICTVonline=201852552")</f>
        <v>ICTVonline=201852552</v>
      </c>
      <c r="AA4064" s="1">
        <v>201850000</v>
      </c>
      <c r="AB4064" s="1">
        <v>34</v>
      </c>
    </row>
    <row r="4065" spans="1:28" x14ac:dyDescent="0.15">
      <c r="A4065" s="1">
        <v>10286</v>
      </c>
      <c r="L4065" s="1" t="s">
        <v>309</v>
      </c>
      <c r="N4065" s="1" t="s">
        <v>1958</v>
      </c>
      <c r="P4065" s="1" t="s">
        <v>1959</v>
      </c>
      <c r="Q4065" s="3">
        <v>1</v>
      </c>
      <c r="S4065" s="23" t="s">
        <v>5949</v>
      </c>
      <c r="W4065" s="45" t="str">
        <f>HYPERLINK("http://ictvonline.org/taxonomy/p/taxonomy-history?taxnode_id=201852554","ICTVonline=201852554")</f>
        <v>ICTVonline=201852554</v>
      </c>
      <c r="AA4065" s="1">
        <v>201850000</v>
      </c>
      <c r="AB4065" s="1">
        <v>34</v>
      </c>
    </row>
    <row r="4066" spans="1:28" x14ac:dyDescent="0.15">
      <c r="A4066" s="1">
        <v>10290</v>
      </c>
      <c r="L4066" s="1" t="s">
        <v>309</v>
      </c>
      <c r="N4066" s="1" t="s">
        <v>1695</v>
      </c>
      <c r="P4066" s="1" t="s">
        <v>39</v>
      </c>
      <c r="Q4066" s="3">
        <v>1</v>
      </c>
      <c r="S4066" s="23" t="s">
        <v>5949</v>
      </c>
      <c r="W4066" s="45" t="str">
        <f>HYPERLINK("http://ictvonline.org/taxonomy/p/taxonomy-history?taxnode_id=201852556","ICTVonline=201852556")</f>
        <v>ICTVonline=201852556</v>
      </c>
      <c r="AA4066" s="1">
        <v>201850000</v>
      </c>
      <c r="AB4066" s="1">
        <v>34</v>
      </c>
    </row>
    <row r="4067" spans="1:28" x14ac:dyDescent="0.15">
      <c r="A4067" s="1">
        <v>10292</v>
      </c>
      <c r="L4067" s="1" t="s">
        <v>309</v>
      </c>
      <c r="N4067" s="1" t="s">
        <v>1695</v>
      </c>
      <c r="P4067" s="1" t="s">
        <v>40</v>
      </c>
      <c r="Q4067" s="3">
        <v>0</v>
      </c>
      <c r="S4067" s="23" t="s">
        <v>5949</v>
      </c>
      <c r="W4067" s="45" t="str">
        <f>HYPERLINK("http://ictvonline.org/taxonomy/p/taxonomy-history?taxnode_id=201852557","ICTVonline=201852557")</f>
        <v>ICTVonline=201852557</v>
      </c>
      <c r="AA4067" s="1">
        <v>201850000</v>
      </c>
      <c r="AB4067" s="1">
        <v>34</v>
      </c>
    </row>
    <row r="4068" spans="1:28" x14ac:dyDescent="0.15">
      <c r="A4068" s="1">
        <v>10296</v>
      </c>
      <c r="L4068" s="1" t="s">
        <v>309</v>
      </c>
      <c r="N4068" s="1" t="s">
        <v>41</v>
      </c>
      <c r="P4068" s="1" t="s">
        <v>3680</v>
      </c>
      <c r="Q4068" s="3">
        <v>1</v>
      </c>
      <c r="S4068" s="23" t="s">
        <v>5949</v>
      </c>
      <c r="W4068" s="45" t="str">
        <f>HYPERLINK("http://ictvonline.org/taxonomy/p/taxonomy-history?taxnode_id=201852559","ICTVonline=201852559")</f>
        <v>ICTVonline=201852559</v>
      </c>
      <c r="AA4068" s="1">
        <v>201850000</v>
      </c>
      <c r="AB4068" s="1">
        <v>34</v>
      </c>
    </row>
    <row r="4069" spans="1:28" x14ac:dyDescent="0.15">
      <c r="A4069" s="1">
        <v>10298</v>
      </c>
      <c r="L4069" s="1" t="s">
        <v>309</v>
      </c>
      <c r="N4069" s="1" t="s">
        <v>41</v>
      </c>
      <c r="P4069" s="1" t="s">
        <v>3681</v>
      </c>
      <c r="Q4069" s="3">
        <v>0</v>
      </c>
      <c r="S4069" s="23" t="s">
        <v>5949</v>
      </c>
      <c r="W4069" s="45" t="str">
        <f>HYPERLINK("http://ictvonline.org/taxonomy/p/taxonomy-history?taxnode_id=201852560","ICTVonline=201852560")</f>
        <v>ICTVonline=201852560</v>
      </c>
      <c r="AA4069" s="1">
        <v>201850000</v>
      </c>
      <c r="AB4069" s="1">
        <v>34</v>
      </c>
    </row>
    <row r="4070" spans="1:28" x14ac:dyDescent="0.15">
      <c r="A4070" s="1">
        <v>10302</v>
      </c>
      <c r="L4070" s="1" t="s">
        <v>309</v>
      </c>
      <c r="N4070" s="1" t="s">
        <v>42</v>
      </c>
      <c r="P4070" s="1" t="s">
        <v>6961</v>
      </c>
      <c r="Q4070" s="3">
        <v>0</v>
      </c>
      <c r="S4070" s="23" t="s">
        <v>5949</v>
      </c>
      <c r="T4070" s="23" t="s">
        <v>4929</v>
      </c>
      <c r="U4070" s="3">
        <v>34</v>
      </c>
      <c r="V4070" s="3" t="s">
        <v>6962</v>
      </c>
      <c r="W4070" s="45" t="str">
        <f>HYPERLINK("http://ictvonline.org/taxonomy/p/taxonomy-history?taxnode_id=201856510","ICTVonline=201856510")</f>
        <v>ICTVonline=201856510</v>
      </c>
      <c r="AA4070" s="1">
        <v>201850000</v>
      </c>
      <c r="AB4070" s="1">
        <v>34</v>
      </c>
    </row>
    <row r="4071" spans="1:28" x14ac:dyDescent="0.15">
      <c r="A4071" s="1">
        <v>10304</v>
      </c>
      <c r="L4071" s="1" t="s">
        <v>309</v>
      </c>
      <c r="N4071" s="1" t="s">
        <v>42</v>
      </c>
      <c r="P4071" s="1" t="s">
        <v>6963</v>
      </c>
      <c r="Q4071" s="3">
        <v>0</v>
      </c>
      <c r="S4071" s="23" t="s">
        <v>5949</v>
      </c>
      <c r="T4071" s="23" t="s">
        <v>4929</v>
      </c>
      <c r="U4071" s="3">
        <v>34</v>
      </c>
      <c r="V4071" s="3" t="s">
        <v>6962</v>
      </c>
      <c r="W4071" s="45" t="str">
        <f>HYPERLINK("http://ictvonline.org/taxonomy/p/taxonomy-history?taxnode_id=201856511","ICTVonline=201856511")</f>
        <v>ICTVonline=201856511</v>
      </c>
      <c r="AA4071" s="1">
        <v>201850000</v>
      </c>
      <c r="AB4071" s="1">
        <v>34</v>
      </c>
    </row>
    <row r="4072" spans="1:28" x14ac:dyDescent="0.15">
      <c r="A4072" s="1">
        <v>10306</v>
      </c>
      <c r="L4072" s="1" t="s">
        <v>309</v>
      </c>
      <c r="N4072" s="1" t="s">
        <v>42</v>
      </c>
      <c r="P4072" s="1" t="s">
        <v>6964</v>
      </c>
      <c r="Q4072" s="3">
        <v>0</v>
      </c>
      <c r="S4072" s="23" t="s">
        <v>5949</v>
      </c>
      <c r="T4072" s="23" t="s">
        <v>4929</v>
      </c>
      <c r="U4072" s="3">
        <v>34</v>
      </c>
      <c r="V4072" s="3" t="s">
        <v>6962</v>
      </c>
      <c r="W4072" s="45" t="str">
        <f>HYPERLINK("http://ictvonline.org/taxonomy/p/taxonomy-history?taxnode_id=201856512","ICTVonline=201856512")</f>
        <v>ICTVonline=201856512</v>
      </c>
      <c r="AA4072" s="1">
        <v>201850000</v>
      </c>
      <c r="AB4072" s="1">
        <v>34</v>
      </c>
    </row>
    <row r="4073" spans="1:28" x14ac:dyDescent="0.15">
      <c r="A4073" s="1">
        <v>10308</v>
      </c>
      <c r="L4073" s="1" t="s">
        <v>309</v>
      </c>
      <c r="N4073" s="1" t="s">
        <v>42</v>
      </c>
      <c r="P4073" s="1" t="s">
        <v>6965</v>
      </c>
      <c r="Q4073" s="3">
        <v>0</v>
      </c>
      <c r="S4073" s="23" t="s">
        <v>5949</v>
      </c>
      <c r="T4073" s="23" t="s">
        <v>4929</v>
      </c>
      <c r="U4073" s="3">
        <v>34</v>
      </c>
      <c r="V4073" s="3" t="s">
        <v>6962</v>
      </c>
      <c r="W4073" s="45" t="str">
        <f>HYPERLINK("http://ictvonline.org/taxonomy/p/taxonomy-history?taxnode_id=201856513","ICTVonline=201856513")</f>
        <v>ICTVonline=201856513</v>
      </c>
      <c r="AA4073" s="1">
        <v>201850000</v>
      </c>
      <c r="AB4073" s="1">
        <v>34</v>
      </c>
    </row>
    <row r="4074" spans="1:28" x14ac:dyDescent="0.15">
      <c r="A4074" s="1">
        <v>10310</v>
      </c>
      <c r="L4074" s="1" t="s">
        <v>309</v>
      </c>
      <c r="N4074" s="1" t="s">
        <v>42</v>
      </c>
      <c r="P4074" s="1" t="s">
        <v>6966</v>
      </c>
      <c r="Q4074" s="3">
        <v>0</v>
      </c>
      <c r="S4074" s="23" t="s">
        <v>5949</v>
      </c>
      <c r="T4074" s="23" t="s">
        <v>4929</v>
      </c>
      <c r="U4074" s="3">
        <v>34</v>
      </c>
      <c r="V4074" s="3" t="s">
        <v>6962</v>
      </c>
      <c r="W4074" s="45" t="str">
        <f>HYPERLINK("http://ictvonline.org/taxonomy/p/taxonomy-history?taxnode_id=201856514","ICTVonline=201856514")</f>
        <v>ICTVonline=201856514</v>
      </c>
      <c r="AA4074" s="1">
        <v>201850000</v>
      </c>
      <c r="AB4074" s="1">
        <v>34</v>
      </c>
    </row>
    <row r="4075" spans="1:28" x14ac:dyDescent="0.15">
      <c r="A4075" s="1">
        <v>10312</v>
      </c>
      <c r="L4075" s="1" t="s">
        <v>309</v>
      </c>
      <c r="N4075" s="1" t="s">
        <v>42</v>
      </c>
      <c r="P4075" s="1" t="s">
        <v>43</v>
      </c>
      <c r="Q4075" s="3">
        <v>1</v>
      </c>
      <c r="S4075" s="23" t="s">
        <v>5949</v>
      </c>
      <c r="W4075" s="45" t="str">
        <f>HYPERLINK("http://ictvonline.org/taxonomy/p/taxonomy-history?taxnode_id=201852562","ICTVonline=201852562")</f>
        <v>ICTVonline=201852562</v>
      </c>
      <c r="AA4075" s="1">
        <v>201850000</v>
      </c>
      <c r="AB4075" s="1">
        <v>34</v>
      </c>
    </row>
    <row r="4076" spans="1:28" x14ac:dyDescent="0.15">
      <c r="A4076" s="1">
        <v>10316</v>
      </c>
      <c r="L4076" s="1" t="s">
        <v>309</v>
      </c>
      <c r="N4076" s="1" t="s">
        <v>6967</v>
      </c>
      <c r="P4076" s="1" t="s">
        <v>6968</v>
      </c>
      <c r="Q4076" s="3">
        <v>1</v>
      </c>
      <c r="S4076" s="23" t="s">
        <v>5949</v>
      </c>
      <c r="T4076" s="23" t="s">
        <v>4929</v>
      </c>
      <c r="U4076" s="3">
        <v>34</v>
      </c>
      <c r="V4076" s="3" t="s">
        <v>6962</v>
      </c>
      <c r="W4076" s="45" t="str">
        <f>HYPERLINK("http://ictvonline.org/taxonomy/p/taxonomy-history?taxnode_id=201856509","ICTVonline=201856509")</f>
        <v>ICTVonline=201856509</v>
      </c>
      <c r="AA4076" s="1">
        <v>201850000</v>
      </c>
      <c r="AB4076" s="1">
        <v>34</v>
      </c>
    </row>
    <row r="4077" spans="1:28" x14ac:dyDescent="0.15">
      <c r="A4077" s="1">
        <v>10320</v>
      </c>
      <c r="L4077" s="1" t="s">
        <v>309</v>
      </c>
      <c r="N4077" s="1" t="s">
        <v>6969</v>
      </c>
      <c r="P4077" s="1" t="s">
        <v>6970</v>
      </c>
      <c r="Q4077" s="3">
        <v>1</v>
      </c>
      <c r="S4077" s="23" t="s">
        <v>5949</v>
      </c>
      <c r="T4077" s="23" t="s">
        <v>4929</v>
      </c>
      <c r="U4077" s="3">
        <v>34</v>
      </c>
      <c r="V4077" s="3" t="s">
        <v>6962</v>
      </c>
      <c r="W4077" s="45" t="str">
        <f>HYPERLINK("http://ictvonline.org/taxonomy/p/taxonomy-history?taxnode_id=201856516","ICTVonline=201856516")</f>
        <v>ICTVonline=201856516</v>
      </c>
      <c r="AA4077" s="1">
        <v>201850000</v>
      </c>
      <c r="AB4077" s="1">
        <v>34</v>
      </c>
    </row>
    <row r="4078" spans="1:28" x14ac:dyDescent="0.15">
      <c r="A4078" s="1">
        <v>10322</v>
      </c>
      <c r="L4078" s="1" t="s">
        <v>309</v>
      </c>
      <c r="N4078" s="1" t="s">
        <v>6969</v>
      </c>
      <c r="P4078" s="1" t="s">
        <v>6971</v>
      </c>
      <c r="Q4078" s="3">
        <v>0</v>
      </c>
      <c r="S4078" s="23" t="s">
        <v>5949</v>
      </c>
      <c r="T4078" s="23" t="s">
        <v>4929</v>
      </c>
      <c r="U4078" s="3">
        <v>34</v>
      </c>
      <c r="V4078" s="3" t="s">
        <v>6962</v>
      </c>
      <c r="W4078" s="45" t="str">
        <f>HYPERLINK("http://ictvonline.org/taxonomy/p/taxonomy-history?taxnode_id=201856517","ICTVonline=201856517")</f>
        <v>ICTVonline=201856517</v>
      </c>
      <c r="AA4078" s="1">
        <v>201850000</v>
      </c>
      <c r="AB4078" s="1">
        <v>34</v>
      </c>
    </row>
    <row r="4079" spans="1:28" x14ac:dyDescent="0.15">
      <c r="A4079" s="1">
        <v>10326</v>
      </c>
      <c r="L4079" s="1" t="s">
        <v>309</v>
      </c>
      <c r="N4079" s="1" t="s">
        <v>1694</v>
      </c>
      <c r="P4079" s="1" t="s">
        <v>1573</v>
      </c>
      <c r="Q4079" s="3">
        <v>1</v>
      </c>
      <c r="S4079" s="23" t="s">
        <v>5949</v>
      </c>
      <c r="W4079" s="45" t="str">
        <f>HYPERLINK("http://ictvonline.org/taxonomy/p/taxonomy-history?taxnode_id=201852564","ICTVonline=201852564")</f>
        <v>ICTVonline=201852564</v>
      </c>
      <c r="AA4079" s="1">
        <v>201850000</v>
      </c>
      <c r="AB4079" s="1">
        <v>34</v>
      </c>
    </row>
    <row r="4080" spans="1:28" x14ac:dyDescent="0.15">
      <c r="A4080" s="1">
        <v>10330</v>
      </c>
      <c r="L4080" s="1" t="s">
        <v>309</v>
      </c>
      <c r="N4080" s="1" t="s">
        <v>1692</v>
      </c>
      <c r="P4080" s="1" t="s">
        <v>491</v>
      </c>
      <c r="Q4080" s="3">
        <v>1</v>
      </c>
      <c r="S4080" s="23" t="s">
        <v>5949</v>
      </c>
      <c r="W4080" s="45" t="str">
        <f>HYPERLINK("http://ictvonline.org/taxonomy/p/taxonomy-history?taxnode_id=201852566","ICTVonline=201852566")</f>
        <v>ICTVonline=201852566</v>
      </c>
      <c r="AA4080" s="1">
        <v>201850000</v>
      </c>
      <c r="AB4080" s="1">
        <v>34</v>
      </c>
    </row>
    <row r="4081" spans="1:28" x14ac:dyDescent="0.15">
      <c r="A4081" s="1">
        <v>10336</v>
      </c>
      <c r="L4081" s="1" t="s">
        <v>1803</v>
      </c>
      <c r="N4081" s="1" t="s">
        <v>1804</v>
      </c>
      <c r="P4081" s="1" t="s">
        <v>663</v>
      </c>
      <c r="Q4081" s="3">
        <v>0</v>
      </c>
      <c r="S4081" s="23" t="s">
        <v>5949</v>
      </c>
      <c r="W4081" s="45" t="str">
        <f>HYPERLINK("http://ictvonline.org/taxonomy/p/taxonomy-history?taxnode_id=201852610","ICTVonline=201852610")</f>
        <v>ICTVonline=201852610</v>
      </c>
      <c r="AA4081" s="1">
        <v>201850000</v>
      </c>
      <c r="AB4081" s="1">
        <v>34</v>
      </c>
    </row>
    <row r="4082" spans="1:28" x14ac:dyDescent="0.15">
      <c r="A4082" s="1">
        <v>10338</v>
      </c>
      <c r="L4082" s="1" t="s">
        <v>1803</v>
      </c>
      <c r="N4082" s="1" t="s">
        <v>1804</v>
      </c>
      <c r="P4082" s="1" t="s">
        <v>664</v>
      </c>
      <c r="Q4082" s="3">
        <v>1</v>
      </c>
      <c r="S4082" s="23" t="s">
        <v>5949</v>
      </c>
      <c r="W4082" s="45" t="str">
        <f>HYPERLINK("http://ictvonline.org/taxonomy/p/taxonomy-history?taxnode_id=201852611","ICTVonline=201852611")</f>
        <v>ICTVonline=201852611</v>
      </c>
      <c r="AA4082" s="1">
        <v>201850000</v>
      </c>
      <c r="AB4082" s="1">
        <v>34</v>
      </c>
    </row>
    <row r="4083" spans="1:28" x14ac:dyDescent="0.15">
      <c r="A4083" s="1">
        <v>10340</v>
      </c>
      <c r="L4083" s="1" t="s">
        <v>1803</v>
      </c>
      <c r="N4083" s="1" t="s">
        <v>1804</v>
      </c>
      <c r="P4083" s="1" t="s">
        <v>1359</v>
      </c>
      <c r="Q4083" s="3">
        <v>0</v>
      </c>
      <c r="S4083" s="23" t="s">
        <v>5949</v>
      </c>
      <c r="W4083" s="45" t="str">
        <f>HYPERLINK("http://ictvonline.org/taxonomy/p/taxonomy-history?taxnode_id=201852612","ICTVonline=201852612")</f>
        <v>ICTVonline=201852612</v>
      </c>
      <c r="AA4083" s="1">
        <v>201850000</v>
      </c>
      <c r="AB4083" s="1">
        <v>34</v>
      </c>
    </row>
    <row r="4084" spans="1:28" x14ac:dyDescent="0.15">
      <c r="A4084" s="1">
        <v>10344</v>
      </c>
      <c r="L4084" s="1" t="s">
        <v>1803</v>
      </c>
      <c r="N4084" s="1" t="s">
        <v>3686</v>
      </c>
      <c r="P4084" s="1" t="s">
        <v>4956</v>
      </c>
      <c r="Q4084" s="3">
        <v>1</v>
      </c>
      <c r="S4084" s="23" t="s">
        <v>5949</v>
      </c>
      <c r="W4084" s="45" t="str">
        <f>HYPERLINK("http://ictvonline.org/taxonomy/p/taxonomy-history?taxnode_id=201852614","ICTVonline=201852614")</f>
        <v>ICTVonline=201852614</v>
      </c>
      <c r="AA4084" s="1">
        <v>201850000</v>
      </c>
      <c r="AB4084" s="1">
        <v>34</v>
      </c>
    </row>
    <row r="4085" spans="1:28" x14ac:dyDescent="0.15">
      <c r="A4085" s="1">
        <v>10350</v>
      </c>
      <c r="L4085" s="1" t="s">
        <v>667</v>
      </c>
      <c r="N4085" s="1" t="s">
        <v>668</v>
      </c>
      <c r="P4085" s="1" t="s">
        <v>669</v>
      </c>
      <c r="Q4085" s="3">
        <v>1</v>
      </c>
      <c r="S4085" s="23" t="s">
        <v>5949</v>
      </c>
      <c r="W4085" s="45" t="str">
        <f>HYPERLINK("http://ictvonline.org/taxonomy/p/taxonomy-history?taxnode_id=201852618","ICTVonline=201852618")</f>
        <v>ICTVonline=201852618</v>
      </c>
      <c r="AA4085" s="1">
        <v>201850000</v>
      </c>
      <c r="AB4085" s="1">
        <v>34</v>
      </c>
    </row>
    <row r="4086" spans="1:28" x14ac:dyDescent="0.15">
      <c r="A4086" s="1">
        <v>10356</v>
      </c>
      <c r="L4086" s="1" t="s">
        <v>5325</v>
      </c>
      <c r="N4086" s="1" t="s">
        <v>5326</v>
      </c>
      <c r="P4086" s="1" t="s">
        <v>5327</v>
      </c>
      <c r="Q4086" s="3">
        <v>1</v>
      </c>
      <c r="S4086" s="23" t="s">
        <v>5949</v>
      </c>
      <c r="W4086" s="45" t="str">
        <f>HYPERLINK("http://ictvonline.org/taxonomy/p/taxonomy-history?taxnode_id=201855746","ICTVonline=201855746")</f>
        <v>ICTVonline=201855746</v>
      </c>
      <c r="AA4086" s="1">
        <v>201850000</v>
      </c>
      <c r="AB4086" s="1">
        <v>34</v>
      </c>
    </row>
    <row r="4087" spans="1:28" x14ac:dyDescent="0.15">
      <c r="A4087" s="1">
        <v>10360</v>
      </c>
      <c r="L4087" s="1" t="s">
        <v>5325</v>
      </c>
      <c r="N4087" s="1" t="s">
        <v>5328</v>
      </c>
      <c r="P4087" s="1" t="s">
        <v>5329</v>
      </c>
      <c r="Q4087" s="3">
        <v>1</v>
      </c>
      <c r="S4087" s="23" t="s">
        <v>5949</v>
      </c>
      <c r="W4087" s="45" t="str">
        <f>HYPERLINK("http://ictvonline.org/taxonomy/p/taxonomy-history?taxnode_id=201855748","ICTVonline=201855748")</f>
        <v>ICTVonline=201855748</v>
      </c>
      <c r="AA4087" s="1">
        <v>201850000</v>
      </c>
      <c r="AB4087" s="1">
        <v>34</v>
      </c>
    </row>
    <row r="4088" spans="1:28" x14ac:dyDescent="0.15">
      <c r="A4088" s="1">
        <v>10364</v>
      </c>
      <c r="L4088" s="1" t="s">
        <v>5325</v>
      </c>
      <c r="N4088" s="1" t="s">
        <v>5330</v>
      </c>
      <c r="P4088" s="1" t="s">
        <v>5331</v>
      </c>
      <c r="Q4088" s="3">
        <v>1</v>
      </c>
      <c r="S4088" s="23" t="s">
        <v>5949</v>
      </c>
      <c r="W4088" s="45" t="str">
        <f>HYPERLINK("http://ictvonline.org/taxonomy/p/taxonomy-history?taxnode_id=201855339","ICTVonline=201855339")</f>
        <v>ICTVonline=201855339</v>
      </c>
      <c r="AA4088" s="1">
        <v>201850000</v>
      </c>
      <c r="AB4088" s="1">
        <v>34</v>
      </c>
    </row>
    <row r="4089" spans="1:28" x14ac:dyDescent="0.15">
      <c r="A4089" s="1">
        <v>10366</v>
      </c>
      <c r="L4089" s="1" t="s">
        <v>5325</v>
      </c>
      <c r="N4089" s="1" t="s">
        <v>5330</v>
      </c>
      <c r="P4089" s="1" t="s">
        <v>5332</v>
      </c>
      <c r="Q4089" s="3">
        <v>0</v>
      </c>
      <c r="S4089" s="23" t="s">
        <v>5949</v>
      </c>
      <c r="W4089" s="45" t="str">
        <f>HYPERLINK("http://ictvonline.org/taxonomy/p/taxonomy-history?taxnode_id=201855750","ICTVonline=201855750")</f>
        <v>ICTVonline=201855750</v>
      </c>
      <c r="AA4089" s="1">
        <v>201850000</v>
      </c>
      <c r="AB4089" s="1">
        <v>34</v>
      </c>
    </row>
    <row r="4090" spans="1:28" x14ac:dyDescent="0.15">
      <c r="A4090" s="1">
        <v>10368</v>
      </c>
      <c r="L4090" s="1" t="s">
        <v>5325</v>
      </c>
      <c r="N4090" s="1" t="s">
        <v>5330</v>
      </c>
      <c r="P4090" s="1" t="s">
        <v>5333</v>
      </c>
      <c r="Q4090" s="3">
        <v>0</v>
      </c>
      <c r="S4090" s="23" t="s">
        <v>5949</v>
      </c>
      <c r="W4090" s="45" t="str">
        <f>HYPERLINK("http://ictvonline.org/taxonomy/p/taxonomy-history?taxnode_id=201855751","ICTVonline=201855751")</f>
        <v>ICTVonline=201855751</v>
      </c>
      <c r="AA4090" s="1">
        <v>201850000</v>
      </c>
      <c r="AB4090" s="1">
        <v>34</v>
      </c>
    </row>
    <row r="4091" spans="1:28" x14ac:dyDescent="0.15">
      <c r="A4091" s="1">
        <v>10370</v>
      </c>
      <c r="L4091" s="1" t="s">
        <v>5325</v>
      </c>
      <c r="N4091" s="1" t="s">
        <v>5330</v>
      </c>
      <c r="P4091" s="1" t="s">
        <v>5334</v>
      </c>
      <c r="Q4091" s="3">
        <v>0</v>
      </c>
      <c r="S4091" s="23" t="s">
        <v>5949</v>
      </c>
      <c r="W4091" s="45" t="str">
        <f>HYPERLINK("http://ictvonline.org/taxonomy/p/taxonomy-history?taxnode_id=201855752","ICTVonline=201855752")</f>
        <v>ICTVonline=201855752</v>
      </c>
      <c r="AA4091" s="1">
        <v>201850000</v>
      </c>
      <c r="AB4091" s="1">
        <v>34</v>
      </c>
    </row>
    <row r="4092" spans="1:28" x14ac:dyDescent="0.15">
      <c r="A4092" s="1">
        <v>10372</v>
      </c>
      <c r="L4092" s="1" t="s">
        <v>5325</v>
      </c>
      <c r="N4092" s="1" t="s">
        <v>5330</v>
      </c>
      <c r="P4092" s="1" t="s">
        <v>5335</v>
      </c>
      <c r="Q4092" s="3">
        <v>0</v>
      </c>
      <c r="S4092" s="23" t="s">
        <v>5949</v>
      </c>
      <c r="W4092" s="45" t="str">
        <f>HYPERLINK("http://ictvonline.org/taxonomy/p/taxonomy-history?taxnode_id=201855753","ICTVonline=201855753")</f>
        <v>ICTVonline=201855753</v>
      </c>
      <c r="AA4092" s="1">
        <v>201850000</v>
      </c>
      <c r="AB4092" s="1">
        <v>34</v>
      </c>
    </row>
    <row r="4093" spans="1:28" x14ac:dyDescent="0.15">
      <c r="A4093" s="1">
        <v>10374</v>
      </c>
      <c r="L4093" s="1" t="s">
        <v>5325</v>
      </c>
      <c r="N4093" s="1" t="s">
        <v>5330</v>
      </c>
      <c r="P4093" s="1" t="s">
        <v>5336</v>
      </c>
      <c r="Q4093" s="3">
        <v>0</v>
      </c>
      <c r="S4093" s="23" t="s">
        <v>5949</v>
      </c>
      <c r="W4093" s="45" t="str">
        <f>HYPERLINK("http://ictvonline.org/taxonomy/p/taxonomy-history?taxnode_id=201855754","ICTVonline=201855754")</f>
        <v>ICTVonline=201855754</v>
      </c>
      <c r="AA4093" s="1">
        <v>201850000</v>
      </c>
      <c r="AB4093" s="1">
        <v>34</v>
      </c>
    </row>
    <row r="4094" spans="1:28" x14ac:dyDescent="0.15">
      <c r="A4094" s="1">
        <v>10376</v>
      </c>
      <c r="L4094" s="1" t="s">
        <v>5325</v>
      </c>
      <c r="N4094" s="1" t="s">
        <v>5330</v>
      </c>
      <c r="P4094" s="1" t="s">
        <v>5337</v>
      </c>
      <c r="Q4094" s="3">
        <v>0</v>
      </c>
      <c r="S4094" s="23" t="s">
        <v>5949</v>
      </c>
      <c r="W4094" s="45" t="str">
        <f>HYPERLINK("http://ictvonline.org/taxonomy/p/taxonomy-history?taxnode_id=201855755","ICTVonline=201855755")</f>
        <v>ICTVonline=201855755</v>
      </c>
      <c r="AA4094" s="1">
        <v>201850000</v>
      </c>
      <c r="AB4094" s="1">
        <v>34</v>
      </c>
    </row>
    <row r="4095" spans="1:28" x14ac:dyDescent="0.15">
      <c r="A4095" s="1">
        <v>10382</v>
      </c>
      <c r="L4095" s="1" t="s">
        <v>1725</v>
      </c>
      <c r="N4095" s="1" t="s">
        <v>1726</v>
      </c>
      <c r="P4095" s="1" t="s">
        <v>696</v>
      </c>
      <c r="Q4095" s="3">
        <v>0</v>
      </c>
      <c r="S4095" s="23" t="s">
        <v>5949</v>
      </c>
      <c r="W4095" s="45" t="str">
        <f>HYPERLINK("http://ictvonline.org/taxonomy/p/taxonomy-history?taxnode_id=201852657","ICTVonline=201852657")</f>
        <v>ICTVonline=201852657</v>
      </c>
      <c r="AA4095" s="1">
        <v>201850000</v>
      </c>
      <c r="AB4095" s="1">
        <v>34</v>
      </c>
    </row>
    <row r="4096" spans="1:28" x14ac:dyDescent="0.15">
      <c r="A4096" s="1">
        <v>10384</v>
      </c>
      <c r="L4096" s="1" t="s">
        <v>1725</v>
      </c>
      <c r="N4096" s="1" t="s">
        <v>1726</v>
      </c>
      <c r="P4096" s="1" t="s">
        <v>697</v>
      </c>
      <c r="Q4096" s="3">
        <v>0</v>
      </c>
      <c r="S4096" s="23" t="s">
        <v>5949</v>
      </c>
      <c r="W4096" s="45" t="str">
        <f>HYPERLINK("http://ictvonline.org/taxonomy/p/taxonomy-history?taxnode_id=201852658","ICTVonline=201852658")</f>
        <v>ICTVonline=201852658</v>
      </c>
      <c r="AA4096" s="1">
        <v>201850000</v>
      </c>
      <c r="AB4096" s="1">
        <v>34</v>
      </c>
    </row>
    <row r="4097" spans="1:28" x14ac:dyDescent="0.15">
      <c r="A4097" s="1">
        <v>10386</v>
      </c>
      <c r="L4097" s="1" t="s">
        <v>1725</v>
      </c>
      <c r="N4097" s="1" t="s">
        <v>1726</v>
      </c>
      <c r="P4097" s="1" t="s">
        <v>3687</v>
      </c>
      <c r="Q4097" s="3">
        <v>0</v>
      </c>
      <c r="S4097" s="23" t="s">
        <v>5949</v>
      </c>
      <c r="W4097" s="45" t="str">
        <f>HYPERLINK("http://ictvonline.org/taxonomy/p/taxonomy-history?taxnode_id=201852659","ICTVonline=201852659")</f>
        <v>ICTVonline=201852659</v>
      </c>
      <c r="AA4097" s="1">
        <v>201850000</v>
      </c>
      <c r="AB4097" s="1">
        <v>34</v>
      </c>
    </row>
    <row r="4098" spans="1:28" x14ac:dyDescent="0.15">
      <c r="A4098" s="1">
        <v>10388</v>
      </c>
      <c r="L4098" s="1" t="s">
        <v>1725</v>
      </c>
      <c r="N4098" s="1" t="s">
        <v>1726</v>
      </c>
      <c r="P4098" s="1" t="s">
        <v>3688</v>
      </c>
      <c r="Q4098" s="3">
        <v>0</v>
      </c>
      <c r="S4098" s="23" t="s">
        <v>5949</v>
      </c>
      <c r="W4098" s="45" t="str">
        <f>HYPERLINK("http://ictvonline.org/taxonomy/p/taxonomy-history?taxnode_id=201852660","ICTVonline=201852660")</f>
        <v>ICTVonline=201852660</v>
      </c>
      <c r="AA4098" s="1">
        <v>201850000</v>
      </c>
      <c r="AB4098" s="1">
        <v>34</v>
      </c>
    </row>
    <row r="4099" spans="1:28" x14ac:dyDescent="0.15">
      <c r="A4099" s="1">
        <v>10390</v>
      </c>
      <c r="L4099" s="1" t="s">
        <v>1725</v>
      </c>
      <c r="N4099" s="1" t="s">
        <v>1726</v>
      </c>
      <c r="P4099" s="1" t="s">
        <v>2215</v>
      </c>
      <c r="Q4099" s="3">
        <v>0</v>
      </c>
      <c r="S4099" s="23" t="s">
        <v>5949</v>
      </c>
      <c r="W4099" s="45" t="str">
        <f>HYPERLINK("http://ictvonline.org/taxonomy/p/taxonomy-history?taxnode_id=201852661","ICTVonline=201852661")</f>
        <v>ICTVonline=201852661</v>
      </c>
      <c r="AA4099" s="1">
        <v>201850000</v>
      </c>
      <c r="AB4099" s="1">
        <v>34</v>
      </c>
    </row>
    <row r="4100" spans="1:28" x14ac:dyDescent="0.15">
      <c r="A4100" s="1">
        <v>10392</v>
      </c>
      <c r="L4100" s="1" t="s">
        <v>1725</v>
      </c>
      <c r="N4100" s="1" t="s">
        <v>1726</v>
      </c>
      <c r="P4100" s="1" t="s">
        <v>1742</v>
      </c>
      <c r="Q4100" s="3">
        <v>0</v>
      </c>
      <c r="S4100" s="23" t="s">
        <v>5949</v>
      </c>
      <c r="W4100" s="45" t="str">
        <f>HYPERLINK("http://ictvonline.org/taxonomy/p/taxonomy-history?taxnode_id=201852662","ICTVonline=201852662")</f>
        <v>ICTVonline=201852662</v>
      </c>
      <c r="AA4100" s="1">
        <v>201850000</v>
      </c>
      <c r="AB4100" s="1">
        <v>34</v>
      </c>
    </row>
    <row r="4101" spans="1:28" x14ac:dyDescent="0.15">
      <c r="A4101" s="1">
        <v>10394</v>
      </c>
      <c r="L4101" s="1" t="s">
        <v>1725</v>
      </c>
      <c r="N4101" s="1" t="s">
        <v>1726</v>
      </c>
      <c r="P4101" s="1" t="s">
        <v>698</v>
      </c>
      <c r="Q4101" s="3">
        <v>1</v>
      </c>
      <c r="S4101" s="23" t="s">
        <v>5949</v>
      </c>
      <c r="W4101" s="45" t="str">
        <f>HYPERLINK("http://ictvonline.org/taxonomy/p/taxonomy-history?taxnode_id=201852663","ICTVonline=201852663")</f>
        <v>ICTVonline=201852663</v>
      </c>
      <c r="AA4101" s="1">
        <v>201850000</v>
      </c>
      <c r="AB4101" s="1">
        <v>34</v>
      </c>
    </row>
    <row r="4102" spans="1:28" x14ac:dyDescent="0.15">
      <c r="A4102" s="1">
        <v>10396</v>
      </c>
      <c r="L4102" s="1" t="s">
        <v>1725</v>
      </c>
      <c r="N4102" s="1" t="s">
        <v>1726</v>
      </c>
      <c r="P4102" s="1" t="s">
        <v>699</v>
      </c>
      <c r="Q4102" s="3">
        <v>0</v>
      </c>
      <c r="S4102" s="23" t="s">
        <v>5949</v>
      </c>
      <c r="W4102" s="45" t="str">
        <f>HYPERLINK("http://ictvonline.org/taxonomy/p/taxonomy-history?taxnode_id=201852664","ICTVonline=201852664")</f>
        <v>ICTVonline=201852664</v>
      </c>
      <c r="AA4102" s="1">
        <v>201850000</v>
      </c>
      <c r="AB4102" s="1">
        <v>34</v>
      </c>
    </row>
    <row r="4103" spans="1:28" x14ac:dyDescent="0.15">
      <c r="A4103" s="1">
        <v>10398</v>
      </c>
      <c r="L4103" s="1" t="s">
        <v>1725</v>
      </c>
      <c r="N4103" s="1" t="s">
        <v>1726</v>
      </c>
      <c r="P4103" s="1" t="s">
        <v>700</v>
      </c>
      <c r="Q4103" s="3">
        <v>0</v>
      </c>
      <c r="S4103" s="23" t="s">
        <v>5949</v>
      </c>
      <c r="W4103" s="45" t="str">
        <f>HYPERLINK("http://ictvonline.org/taxonomy/p/taxonomy-history?taxnode_id=201852665","ICTVonline=201852665")</f>
        <v>ICTVonline=201852665</v>
      </c>
      <c r="AA4103" s="1">
        <v>201850000</v>
      </c>
      <c r="AB4103" s="1">
        <v>34</v>
      </c>
    </row>
    <row r="4104" spans="1:28" x14ac:dyDescent="0.15">
      <c r="A4104" s="1">
        <v>10400</v>
      </c>
      <c r="L4104" s="1" t="s">
        <v>1725</v>
      </c>
      <c r="N4104" s="1" t="s">
        <v>1726</v>
      </c>
      <c r="P4104" s="1" t="s">
        <v>4631</v>
      </c>
      <c r="Q4104" s="3">
        <v>0</v>
      </c>
      <c r="S4104" s="23" t="s">
        <v>5949</v>
      </c>
      <c r="W4104" s="45" t="str">
        <f>HYPERLINK("http://ictvonline.org/taxonomy/p/taxonomy-history?taxnode_id=201852666","ICTVonline=201852666")</f>
        <v>ICTVonline=201852666</v>
      </c>
      <c r="AA4104" s="1">
        <v>201850000</v>
      </c>
      <c r="AB4104" s="1">
        <v>34</v>
      </c>
    </row>
    <row r="4105" spans="1:28" x14ac:dyDescent="0.15">
      <c r="A4105" s="1">
        <v>10402</v>
      </c>
      <c r="L4105" s="1" t="s">
        <v>1725</v>
      </c>
      <c r="N4105" s="1" t="s">
        <v>1726</v>
      </c>
      <c r="P4105" s="1" t="s">
        <v>701</v>
      </c>
      <c r="Q4105" s="3">
        <v>0</v>
      </c>
      <c r="S4105" s="23" t="s">
        <v>5949</v>
      </c>
      <c r="W4105" s="45" t="str">
        <f>HYPERLINK("http://ictvonline.org/taxonomy/p/taxonomy-history?taxnode_id=201852667","ICTVonline=201852667")</f>
        <v>ICTVonline=201852667</v>
      </c>
      <c r="AA4105" s="1">
        <v>201850000</v>
      </c>
      <c r="AB4105" s="1">
        <v>34</v>
      </c>
    </row>
    <row r="4106" spans="1:28" x14ac:dyDescent="0.15">
      <c r="A4106" s="1">
        <v>10404</v>
      </c>
      <c r="L4106" s="1" t="s">
        <v>1725</v>
      </c>
      <c r="N4106" s="1" t="s">
        <v>1726</v>
      </c>
      <c r="P4106" s="1" t="s">
        <v>1746</v>
      </c>
      <c r="Q4106" s="3">
        <v>0</v>
      </c>
      <c r="S4106" s="23" t="s">
        <v>5949</v>
      </c>
      <c r="W4106" s="45" t="str">
        <f>HYPERLINK("http://ictvonline.org/taxonomy/p/taxonomy-history?taxnode_id=201852668","ICTVonline=201852668")</f>
        <v>ICTVonline=201852668</v>
      </c>
      <c r="AA4106" s="1">
        <v>201850000</v>
      </c>
      <c r="AB4106" s="1">
        <v>34</v>
      </c>
    </row>
    <row r="4107" spans="1:28" x14ac:dyDescent="0.15">
      <c r="A4107" s="1">
        <v>10406</v>
      </c>
      <c r="L4107" s="1" t="s">
        <v>1725</v>
      </c>
      <c r="N4107" s="1" t="s">
        <v>1726</v>
      </c>
      <c r="P4107" s="1" t="s">
        <v>4632</v>
      </c>
      <c r="Q4107" s="3">
        <v>0</v>
      </c>
      <c r="S4107" s="23" t="s">
        <v>5949</v>
      </c>
      <c r="W4107" s="45" t="str">
        <f>HYPERLINK("http://ictvonline.org/taxonomy/p/taxonomy-history?taxnode_id=201852669","ICTVonline=201852669")</f>
        <v>ICTVonline=201852669</v>
      </c>
      <c r="AA4107" s="1">
        <v>201850000</v>
      </c>
      <c r="AB4107" s="1">
        <v>34</v>
      </c>
    </row>
    <row r="4108" spans="1:28" x14ac:dyDescent="0.15">
      <c r="A4108" s="1">
        <v>10408</v>
      </c>
      <c r="L4108" s="1" t="s">
        <v>1725</v>
      </c>
      <c r="N4108" s="1" t="s">
        <v>1726</v>
      </c>
      <c r="P4108" s="1" t="s">
        <v>1748</v>
      </c>
      <c r="Q4108" s="3">
        <v>0</v>
      </c>
      <c r="S4108" s="23" t="s">
        <v>5949</v>
      </c>
      <c r="W4108" s="45" t="str">
        <f>HYPERLINK("http://ictvonline.org/taxonomy/p/taxonomy-history?taxnode_id=201852670","ICTVonline=201852670")</f>
        <v>ICTVonline=201852670</v>
      </c>
      <c r="AA4108" s="1">
        <v>201850000</v>
      </c>
      <c r="AB4108" s="1">
        <v>34</v>
      </c>
    </row>
    <row r="4109" spans="1:28" x14ac:dyDescent="0.15">
      <c r="A4109" s="1">
        <v>10410</v>
      </c>
      <c r="L4109" s="1" t="s">
        <v>1725</v>
      </c>
      <c r="N4109" s="1" t="s">
        <v>1726</v>
      </c>
      <c r="P4109" s="1" t="s">
        <v>2216</v>
      </c>
      <c r="Q4109" s="3">
        <v>0</v>
      </c>
      <c r="S4109" s="23" t="s">
        <v>5949</v>
      </c>
      <c r="W4109" s="45" t="str">
        <f>HYPERLINK("http://ictvonline.org/taxonomy/p/taxonomy-history?taxnode_id=201852671","ICTVonline=201852671")</f>
        <v>ICTVonline=201852671</v>
      </c>
      <c r="AA4109" s="1">
        <v>201850000</v>
      </c>
      <c r="AB4109" s="1">
        <v>34</v>
      </c>
    </row>
    <row r="4110" spans="1:28" x14ac:dyDescent="0.15">
      <c r="A4110" s="1">
        <v>10412</v>
      </c>
      <c r="L4110" s="1" t="s">
        <v>1725</v>
      </c>
      <c r="N4110" s="1" t="s">
        <v>1726</v>
      </c>
      <c r="P4110" s="1" t="s">
        <v>3689</v>
      </c>
      <c r="Q4110" s="3">
        <v>0</v>
      </c>
      <c r="S4110" s="23" t="s">
        <v>5949</v>
      </c>
      <c r="W4110" s="45" t="str">
        <f>HYPERLINK("http://ictvonline.org/taxonomy/p/taxonomy-history?taxnode_id=201852672","ICTVonline=201852672")</f>
        <v>ICTVonline=201852672</v>
      </c>
      <c r="AA4110" s="1">
        <v>201850000</v>
      </c>
      <c r="AB4110" s="1">
        <v>34</v>
      </c>
    </row>
    <row r="4111" spans="1:28" x14ac:dyDescent="0.15">
      <c r="A4111" s="1">
        <v>10414</v>
      </c>
      <c r="L4111" s="1" t="s">
        <v>1725</v>
      </c>
      <c r="N4111" s="1" t="s">
        <v>1726</v>
      </c>
      <c r="P4111" s="1" t="s">
        <v>2217</v>
      </c>
      <c r="Q4111" s="3">
        <v>0</v>
      </c>
      <c r="S4111" s="23" t="s">
        <v>5949</v>
      </c>
      <c r="W4111" s="45" t="str">
        <f>HYPERLINK("http://ictvonline.org/taxonomy/p/taxonomy-history?taxnode_id=201852673","ICTVonline=201852673")</f>
        <v>ICTVonline=201852673</v>
      </c>
      <c r="AA4111" s="1">
        <v>201850000</v>
      </c>
      <c r="AB4111" s="1">
        <v>34</v>
      </c>
    </row>
    <row r="4112" spans="1:28" x14ac:dyDescent="0.15">
      <c r="A4112" s="1">
        <v>10416</v>
      </c>
      <c r="L4112" s="1" t="s">
        <v>1725</v>
      </c>
      <c r="N4112" s="1" t="s">
        <v>1726</v>
      </c>
      <c r="P4112" s="1" t="s">
        <v>1749</v>
      </c>
      <c r="Q4112" s="3">
        <v>0</v>
      </c>
      <c r="S4112" s="23" t="s">
        <v>5949</v>
      </c>
      <c r="W4112" s="45" t="str">
        <f>HYPERLINK("http://ictvonline.org/taxonomy/p/taxonomy-history?taxnode_id=201852674","ICTVonline=201852674")</f>
        <v>ICTVonline=201852674</v>
      </c>
      <c r="AA4112" s="1">
        <v>201850000</v>
      </c>
      <c r="AB4112" s="1">
        <v>34</v>
      </c>
    </row>
    <row r="4113" spans="1:28" x14ac:dyDescent="0.15">
      <c r="A4113" s="1">
        <v>10418</v>
      </c>
      <c r="L4113" s="1" t="s">
        <v>1725</v>
      </c>
      <c r="N4113" s="1" t="s">
        <v>1726</v>
      </c>
      <c r="P4113" s="1" t="s">
        <v>1750</v>
      </c>
      <c r="Q4113" s="3">
        <v>0</v>
      </c>
      <c r="S4113" s="23" t="s">
        <v>5949</v>
      </c>
      <c r="W4113" s="45" t="str">
        <f>HYPERLINK("http://ictvonline.org/taxonomy/p/taxonomy-history?taxnode_id=201852675","ICTVonline=201852675")</f>
        <v>ICTVonline=201852675</v>
      </c>
      <c r="AA4113" s="1">
        <v>201850000</v>
      </c>
      <c r="AB4113" s="1">
        <v>34</v>
      </c>
    </row>
    <row r="4114" spans="1:28" x14ac:dyDescent="0.15">
      <c r="A4114" s="1">
        <v>10420</v>
      </c>
      <c r="L4114" s="1" t="s">
        <v>1725</v>
      </c>
      <c r="N4114" s="1" t="s">
        <v>1726</v>
      </c>
      <c r="P4114" s="1" t="s">
        <v>2218</v>
      </c>
      <c r="Q4114" s="3">
        <v>0</v>
      </c>
      <c r="S4114" s="23" t="s">
        <v>5949</v>
      </c>
      <c r="W4114" s="45" t="str">
        <f>HYPERLINK("http://ictvonline.org/taxonomy/p/taxonomy-history?taxnode_id=201852676","ICTVonline=201852676")</f>
        <v>ICTVonline=201852676</v>
      </c>
      <c r="AA4114" s="1">
        <v>201850000</v>
      </c>
      <c r="AB4114" s="1">
        <v>34</v>
      </c>
    </row>
    <row r="4115" spans="1:28" x14ac:dyDescent="0.15">
      <c r="A4115" s="1">
        <v>10422</v>
      </c>
      <c r="L4115" s="1" t="s">
        <v>1725</v>
      </c>
      <c r="N4115" s="1" t="s">
        <v>1726</v>
      </c>
      <c r="P4115" s="1" t="s">
        <v>1751</v>
      </c>
      <c r="Q4115" s="3">
        <v>0</v>
      </c>
      <c r="S4115" s="23" t="s">
        <v>5949</v>
      </c>
      <c r="W4115" s="45" t="str">
        <f>HYPERLINK("http://ictvonline.org/taxonomy/p/taxonomy-history?taxnode_id=201852677","ICTVonline=201852677")</f>
        <v>ICTVonline=201852677</v>
      </c>
      <c r="AA4115" s="1">
        <v>201850000</v>
      </c>
      <c r="AB4115" s="1">
        <v>34</v>
      </c>
    </row>
    <row r="4116" spans="1:28" x14ac:dyDescent="0.15">
      <c r="A4116" s="1">
        <v>10424</v>
      </c>
      <c r="L4116" s="1" t="s">
        <v>1725</v>
      </c>
      <c r="N4116" s="1" t="s">
        <v>1726</v>
      </c>
      <c r="P4116" s="1" t="s">
        <v>6972</v>
      </c>
      <c r="Q4116" s="3">
        <v>0</v>
      </c>
      <c r="S4116" s="23" t="s">
        <v>5949</v>
      </c>
      <c r="T4116" s="23" t="s">
        <v>4929</v>
      </c>
      <c r="U4116" s="3">
        <v>34</v>
      </c>
      <c r="V4116" s="3" t="s">
        <v>6973</v>
      </c>
      <c r="W4116" s="45" t="str">
        <f>HYPERLINK("http://ictvonline.org/taxonomy/p/taxonomy-history?taxnode_id=201856526","ICTVonline=201856526")</f>
        <v>ICTVonline=201856526</v>
      </c>
      <c r="AA4116" s="1">
        <v>201850000</v>
      </c>
      <c r="AB4116" s="1">
        <v>34</v>
      </c>
    </row>
    <row r="4117" spans="1:28" x14ac:dyDescent="0.15">
      <c r="A4117" s="1">
        <v>10426</v>
      </c>
      <c r="L4117" s="1" t="s">
        <v>1725</v>
      </c>
      <c r="N4117" s="1" t="s">
        <v>1726</v>
      </c>
      <c r="P4117" s="1" t="s">
        <v>2219</v>
      </c>
      <c r="Q4117" s="3">
        <v>0</v>
      </c>
      <c r="S4117" s="23" t="s">
        <v>5949</v>
      </c>
      <c r="W4117" s="45" t="str">
        <f>HYPERLINK("http://ictvonline.org/taxonomy/p/taxonomy-history?taxnode_id=201852678","ICTVonline=201852678")</f>
        <v>ICTVonline=201852678</v>
      </c>
      <c r="AA4117" s="1">
        <v>201850000</v>
      </c>
      <c r="AB4117" s="1">
        <v>34</v>
      </c>
    </row>
    <row r="4118" spans="1:28" x14ac:dyDescent="0.15">
      <c r="A4118" s="1">
        <v>10428</v>
      </c>
      <c r="L4118" s="1" t="s">
        <v>1725</v>
      </c>
      <c r="N4118" s="1" t="s">
        <v>1726</v>
      </c>
      <c r="P4118" s="1" t="s">
        <v>4633</v>
      </c>
      <c r="Q4118" s="3">
        <v>0</v>
      </c>
      <c r="S4118" s="23" t="s">
        <v>5949</v>
      </c>
      <c r="W4118" s="45" t="str">
        <f>HYPERLINK("http://ictvonline.org/taxonomy/p/taxonomy-history?taxnode_id=201852679","ICTVonline=201852679")</f>
        <v>ICTVonline=201852679</v>
      </c>
      <c r="AA4118" s="1">
        <v>201850000</v>
      </c>
      <c r="AB4118" s="1">
        <v>34</v>
      </c>
    </row>
    <row r="4119" spans="1:28" x14ac:dyDescent="0.15">
      <c r="A4119" s="1">
        <v>10430</v>
      </c>
      <c r="L4119" s="1" t="s">
        <v>1725</v>
      </c>
      <c r="N4119" s="1" t="s">
        <v>1726</v>
      </c>
      <c r="P4119" s="1" t="s">
        <v>2220</v>
      </c>
      <c r="Q4119" s="3">
        <v>0</v>
      </c>
      <c r="S4119" s="23" t="s">
        <v>5949</v>
      </c>
      <c r="W4119" s="45" t="str">
        <f>HYPERLINK("http://ictvonline.org/taxonomy/p/taxonomy-history?taxnode_id=201852680","ICTVonline=201852680")</f>
        <v>ICTVonline=201852680</v>
      </c>
      <c r="AA4119" s="1">
        <v>201850000</v>
      </c>
      <c r="AB4119" s="1">
        <v>34</v>
      </c>
    </row>
    <row r="4120" spans="1:28" x14ac:dyDescent="0.15">
      <c r="A4120" s="1">
        <v>10432</v>
      </c>
      <c r="L4120" s="1" t="s">
        <v>1725</v>
      </c>
      <c r="N4120" s="1" t="s">
        <v>1726</v>
      </c>
      <c r="P4120" s="1" t="s">
        <v>6974</v>
      </c>
      <c r="Q4120" s="3">
        <v>0</v>
      </c>
      <c r="S4120" s="23" t="s">
        <v>5949</v>
      </c>
      <c r="T4120" s="23" t="s">
        <v>4929</v>
      </c>
      <c r="U4120" s="3">
        <v>34</v>
      </c>
      <c r="V4120" s="3" t="s">
        <v>6973</v>
      </c>
      <c r="W4120" s="45" t="str">
        <f>HYPERLINK("http://ictvonline.org/taxonomy/p/taxonomy-history?taxnode_id=201856527","ICTVonline=201856527")</f>
        <v>ICTVonline=201856527</v>
      </c>
      <c r="AA4120" s="1">
        <v>201850000</v>
      </c>
      <c r="AB4120" s="1">
        <v>34</v>
      </c>
    </row>
    <row r="4121" spans="1:28" x14ac:dyDescent="0.15">
      <c r="A4121" s="1">
        <v>10434</v>
      </c>
      <c r="L4121" s="1" t="s">
        <v>1725</v>
      </c>
      <c r="N4121" s="1" t="s">
        <v>1726</v>
      </c>
      <c r="P4121" s="1" t="s">
        <v>1752</v>
      </c>
      <c r="Q4121" s="3">
        <v>0</v>
      </c>
      <c r="S4121" s="23" t="s">
        <v>5949</v>
      </c>
      <c r="W4121" s="45" t="str">
        <f>HYPERLINK("http://ictvonline.org/taxonomy/p/taxonomy-history?taxnode_id=201852681","ICTVonline=201852681")</f>
        <v>ICTVonline=201852681</v>
      </c>
      <c r="AA4121" s="1">
        <v>201850000</v>
      </c>
      <c r="AB4121" s="1">
        <v>34</v>
      </c>
    </row>
    <row r="4122" spans="1:28" x14ac:dyDescent="0.15">
      <c r="A4122" s="1">
        <v>10436</v>
      </c>
      <c r="L4122" s="1" t="s">
        <v>1725</v>
      </c>
      <c r="N4122" s="1" t="s">
        <v>1726</v>
      </c>
      <c r="P4122" s="1" t="s">
        <v>4634</v>
      </c>
      <c r="Q4122" s="3">
        <v>0</v>
      </c>
      <c r="S4122" s="23" t="s">
        <v>5949</v>
      </c>
      <c r="W4122" s="45" t="str">
        <f>HYPERLINK("http://ictvonline.org/taxonomy/p/taxonomy-history?taxnode_id=201852682","ICTVonline=201852682")</f>
        <v>ICTVonline=201852682</v>
      </c>
      <c r="AA4122" s="1">
        <v>201850000</v>
      </c>
      <c r="AB4122" s="1">
        <v>34</v>
      </c>
    </row>
    <row r="4123" spans="1:28" x14ac:dyDescent="0.15">
      <c r="A4123" s="1">
        <v>10438</v>
      </c>
      <c r="L4123" s="1" t="s">
        <v>1725</v>
      </c>
      <c r="N4123" s="1" t="s">
        <v>1726</v>
      </c>
      <c r="P4123" s="1" t="s">
        <v>703</v>
      </c>
      <c r="Q4123" s="3">
        <v>0</v>
      </c>
      <c r="S4123" s="23" t="s">
        <v>5949</v>
      </c>
      <c r="W4123" s="45" t="str">
        <f>HYPERLINK("http://ictvonline.org/taxonomy/p/taxonomy-history?taxnode_id=201852683","ICTVonline=201852683")</f>
        <v>ICTVonline=201852683</v>
      </c>
      <c r="AA4123" s="1">
        <v>201850000</v>
      </c>
      <c r="AB4123" s="1">
        <v>34</v>
      </c>
    </row>
    <row r="4124" spans="1:28" x14ac:dyDescent="0.15">
      <c r="A4124" s="1">
        <v>10440</v>
      </c>
      <c r="L4124" s="1" t="s">
        <v>1725</v>
      </c>
      <c r="N4124" s="1" t="s">
        <v>1726</v>
      </c>
      <c r="P4124" s="1" t="s">
        <v>704</v>
      </c>
      <c r="Q4124" s="3">
        <v>0</v>
      </c>
      <c r="S4124" s="23" t="s">
        <v>5949</v>
      </c>
      <c r="W4124" s="45" t="str">
        <f>HYPERLINK("http://ictvonline.org/taxonomy/p/taxonomy-history?taxnode_id=201852684","ICTVonline=201852684")</f>
        <v>ICTVonline=201852684</v>
      </c>
      <c r="AA4124" s="1">
        <v>201850000</v>
      </c>
      <c r="AB4124" s="1">
        <v>34</v>
      </c>
    </row>
    <row r="4125" spans="1:28" x14ac:dyDescent="0.15">
      <c r="A4125" s="1">
        <v>10442</v>
      </c>
      <c r="L4125" s="1" t="s">
        <v>1725</v>
      </c>
      <c r="N4125" s="1" t="s">
        <v>1726</v>
      </c>
      <c r="P4125" s="1" t="s">
        <v>705</v>
      </c>
      <c r="Q4125" s="3">
        <v>0</v>
      </c>
      <c r="S4125" s="23" t="s">
        <v>5949</v>
      </c>
      <c r="W4125" s="45" t="str">
        <f>HYPERLINK("http://ictvonline.org/taxonomy/p/taxonomy-history?taxnode_id=201852685","ICTVonline=201852685")</f>
        <v>ICTVonline=201852685</v>
      </c>
      <c r="AA4125" s="1">
        <v>201850000</v>
      </c>
      <c r="AB4125" s="1">
        <v>34</v>
      </c>
    </row>
    <row r="4126" spans="1:28" x14ac:dyDescent="0.15">
      <c r="A4126" s="1">
        <v>10444</v>
      </c>
      <c r="L4126" s="1" t="s">
        <v>1725</v>
      </c>
      <c r="N4126" s="1" t="s">
        <v>1726</v>
      </c>
      <c r="P4126" s="1" t="s">
        <v>2221</v>
      </c>
      <c r="Q4126" s="3">
        <v>0</v>
      </c>
      <c r="S4126" s="23" t="s">
        <v>5949</v>
      </c>
      <c r="W4126" s="45" t="str">
        <f>HYPERLINK("http://ictvonline.org/taxonomy/p/taxonomy-history?taxnode_id=201852686","ICTVonline=201852686")</f>
        <v>ICTVonline=201852686</v>
      </c>
      <c r="AA4126" s="1">
        <v>201850000</v>
      </c>
      <c r="AB4126" s="1">
        <v>34</v>
      </c>
    </row>
    <row r="4127" spans="1:28" x14ac:dyDescent="0.15">
      <c r="A4127" s="1">
        <v>10446</v>
      </c>
      <c r="L4127" s="1" t="s">
        <v>1725</v>
      </c>
      <c r="N4127" s="1" t="s">
        <v>1726</v>
      </c>
      <c r="P4127" s="1" t="s">
        <v>6975</v>
      </c>
      <c r="Q4127" s="3">
        <v>0</v>
      </c>
      <c r="S4127" s="23" t="s">
        <v>5949</v>
      </c>
      <c r="T4127" s="23" t="s">
        <v>4929</v>
      </c>
      <c r="U4127" s="3">
        <v>34</v>
      </c>
      <c r="V4127" s="3" t="s">
        <v>6973</v>
      </c>
      <c r="W4127" s="45" t="str">
        <f>HYPERLINK("http://ictvonline.org/taxonomy/p/taxonomy-history?taxnode_id=201856528","ICTVonline=201856528")</f>
        <v>ICTVonline=201856528</v>
      </c>
      <c r="AA4127" s="1">
        <v>201850000</v>
      </c>
      <c r="AB4127" s="1">
        <v>34</v>
      </c>
    </row>
    <row r="4128" spans="1:28" x14ac:dyDescent="0.15">
      <c r="A4128" s="1">
        <v>10448</v>
      </c>
      <c r="L4128" s="1" t="s">
        <v>1725</v>
      </c>
      <c r="N4128" s="1" t="s">
        <v>1726</v>
      </c>
      <c r="P4128" s="1" t="s">
        <v>6976</v>
      </c>
      <c r="Q4128" s="3">
        <v>0</v>
      </c>
      <c r="S4128" s="23" t="s">
        <v>5949</v>
      </c>
      <c r="T4128" s="23" t="s">
        <v>4929</v>
      </c>
      <c r="U4128" s="3">
        <v>34</v>
      </c>
      <c r="V4128" s="3" t="s">
        <v>6973</v>
      </c>
      <c r="W4128" s="45" t="str">
        <f>HYPERLINK("http://ictvonline.org/taxonomy/p/taxonomy-history?taxnode_id=201856529","ICTVonline=201856529")</f>
        <v>ICTVonline=201856529</v>
      </c>
      <c r="AA4128" s="1">
        <v>201850000</v>
      </c>
      <c r="AB4128" s="1">
        <v>34</v>
      </c>
    </row>
    <row r="4129" spans="1:28" x14ac:dyDescent="0.15">
      <c r="A4129" s="1">
        <v>10450</v>
      </c>
      <c r="L4129" s="1" t="s">
        <v>1725</v>
      </c>
      <c r="N4129" s="1" t="s">
        <v>1726</v>
      </c>
      <c r="P4129" s="1" t="s">
        <v>4635</v>
      </c>
      <c r="Q4129" s="3">
        <v>0</v>
      </c>
      <c r="S4129" s="23" t="s">
        <v>5949</v>
      </c>
      <c r="W4129" s="45" t="str">
        <f>HYPERLINK("http://ictvonline.org/taxonomy/p/taxonomy-history?taxnode_id=201852687","ICTVonline=201852687")</f>
        <v>ICTVonline=201852687</v>
      </c>
      <c r="AA4129" s="1">
        <v>201850000</v>
      </c>
      <c r="AB4129" s="1">
        <v>34</v>
      </c>
    </row>
    <row r="4130" spans="1:28" x14ac:dyDescent="0.15">
      <c r="A4130" s="1">
        <v>10452</v>
      </c>
      <c r="L4130" s="1" t="s">
        <v>1725</v>
      </c>
      <c r="N4130" s="1" t="s">
        <v>1726</v>
      </c>
      <c r="P4130" s="1" t="s">
        <v>706</v>
      </c>
      <c r="Q4130" s="3">
        <v>0</v>
      </c>
      <c r="S4130" s="23" t="s">
        <v>5949</v>
      </c>
      <c r="W4130" s="45" t="str">
        <f>HYPERLINK("http://ictvonline.org/taxonomy/p/taxonomy-history?taxnode_id=201852688","ICTVonline=201852688")</f>
        <v>ICTVonline=201852688</v>
      </c>
      <c r="AA4130" s="1">
        <v>201850000</v>
      </c>
      <c r="AB4130" s="1">
        <v>34</v>
      </c>
    </row>
    <row r="4131" spans="1:28" x14ac:dyDescent="0.15">
      <c r="A4131" s="1">
        <v>10454</v>
      </c>
      <c r="L4131" s="1" t="s">
        <v>1725</v>
      </c>
      <c r="N4131" s="1" t="s">
        <v>1726</v>
      </c>
      <c r="P4131" s="1" t="s">
        <v>6977</v>
      </c>
      <c r="Q4131" s="3">
        <v>0</v>
      </c>
      <c r="S4131" s="23" t="s">
        <v>5949</v>
      </c>
      <c r="T4131" s="23" t="s">
        <v>4929</v>
      </c>
      <c r="U4131" s="3">
        <v>34</v>
      </c>
      <c r="V4131" s="3" t="s">
        <v>6973</v>
      </c>
      <c r="W4131" s="45" t="str">
        <f>HYPERLINK("http://ictvonline.org/taxonomy/p/taxonomy-history?taxnode_id=201856530","ICTVonline=201856530")</f>
        <v>ICTVonline=201856530</v>
      </c>
      <c r="AA4131" s="1">
        <v>201850000</v>
      </c>
      <c r="AB4131" s="1">
        <v>34</v>
      </c>
    </row>
    <row r="4132" spans="1:28" x14ac:dyDescent="0.15">
      <c r="A4132" s="1">
        <v>10456</v>
      </c>
      <c r="L4132" s="1" t="s">
        <v>1725</v>
      </c>
      <c r="N4132" s="1" t="s">
        <v>1726</v>
      </c>
      <c r="P4132" s="1" t="s">
        <v>6978</v>
      </c>
      <c r="Q4132" s="3">
        <v>0</v>
      </c>
      <c r="S4132" s="23" t="s">
        <v>5949</v>
      </c>
      <c r="T4132" s="23" t="s">
        <v>4929</v>
      </c>
      <c r="U4132" s="3">
        <v>34</v>
      </c>
      <c r="V4132" s="3" t="s">
        <v>6973</v>
      </c>
      <c r="W4132" s="45" t="str">
        <f>HYPERLINK("http://ictvonline.org/taxonomy/p/taxonomy-history?taxnode_id=201856531","ICTVonline=201856531")</f>
        <v>ICTVonline=201856531</v>
      </c>
      <c r="AA4132" s="1">
        <v>201850000</v>
      </c>
      <c r="AB4132" s="1">
        <v>34</v>
      </c>
    </row>
    <row r="4133" spans="1:28" x14ac:dyDescent="0.15">
      <c r="A4133" s="1">
        <v>10458</v>
      </c>
      <c r="L4133" s="1" t="s">
        <v>1725</v>
      </c>
      <c r="N4133" s="1" t="s">
        <v>1726</v>
      </c>
      <c r="P4133" s="1" t="s">
        <v>6979</v>
      </c>
      <c r="Q4133" s="3">
        <v>0</v>
      </c>
      <c r="S4133" s="23" t="s">
        <v>5949</v>
      </c>
      <c r="T4133" s="23" t="s">
        <v>4929</v>
      </c>
      <c r="U4133" s="3">
        <v>34</v>
      </c>
      <c r="V4133" s="3" t="s">
        <v>6973</v>
      </c>
      <c r="W4133" s="45" t="str">
        <f>HYPERLINK("http://ictvonline.org/taxonomy/p/taxonomy-history?taxnode_id=201856532","ICTVonline=201856532")</f>
        <v>ICTVonline=201856532</v>
      </c>
      <c r="AA4133" s="1">
        <v>201850000</v>
      </c>
      <c r="AB4133" s="1">
        <v>34</v>
      </c>
    </row>
    <row r="4134" spans="1:28" x14ac:dyDescent="0.15">
      <c r="A4134" s="1">
        <v>10460</v>
      </c>
      <c r="L4134" s="1" t="s">
        <v>1725</v>
      </c>
      <c r="N4134" s="1" t="s">
        <v>1726</v>
      </c>
      <c r="P4134" s="1" t="s">
        <v>707</v>
      </c>
      <c r="Q4134" s="3">
        <v>0</v>
      </c>
      <c r="S4134" s="23" t="s">
        <v>5949</v>
      </c>
      <c r="W4134" s="45" t="str">
        <f>HYPERLINK("http://ictvonline.org/taxonomy/p/taxonomy-history?taxnode_id=201852689","ICTVonline=201852689")</f>
        <v>ICTVonline=201852689</v>
      </c>
      <c r="AA4134" s="1">
        <v>201850000</v>
      </c>
      <c r="AB4134" s="1">
        <v>34</v>
      </c>
    </row>
    <row r="4135" spans="1:28" x14ac:dyDescent="0.15">
      <c r="A4135" s="1">
        <v>10462</v>
      </c>
      <c r="L4135" s="1" t="s">
        <v>1725</v>
      </c>
      <c r="N4135" s="1" t="s">
        <v>1726</v>
      </c>
      <c r="P4135" s="1" t="s">
        <v>808</v>
      </c>
      <c r="Q4135" s="3">
        <v>0</v>
      </c>
      <c r="S4135" s="23" t="s">
        <v>5949</v>
      </c>
      <c r="W4135" s="45" t="str">
        <f>HYPERLINK("http://ictvonline.org/taxonomy/p/taxonomy-history?taxnode_id=201852690","ICTVonline=201852690")</f>
        <v>ICTVonline=201852690</v>
      </c>
      <c r="AA4135" s="1">
        <v>201850000</v>
      </c>
      <c r="AB4135" s="1">
        <v>34</v>
      </c>
    </row>
    <row r="4136" spans="1:28" x14ac:dyDescent="0.15">
      <c r="A4136" s="1">
        <v>10464</v>
      </c>
      <c r="L4136" s="1" t="s">
        <v>1725</v>
      </c>
      <c r="N4136" s="1" t="s">
        <v>1726</v>
      </c>
      <c r="P4136" s="1" t="s">
        <v>809</v>
      </c>
      <c r="Q4136" s="3">
        <v>0</v>
      </c>
      <c r="S4136" s="23" t="s">
        <v>5949</v>
      </c>
      <c r="W4136" s="45" t="str">
        <f>HYPERLINK("http://ictvonline.org/taxonomy/p/taxonomy-history?taxnode_id=201852691","ICTVonline=201852691")</f>
        <v>ICTVonline=201852691</v>
      </c>
      <c r="AA4136" s="1">
        <v>201850000</v>
      </c>
      <c r="AB4136" s="1">
        <v>34</v>
      </c>
    </row>
    <row r="4137" spans="1:28" x14ac:dyDescent="0.15">
      <c r="A4137" s="1">
        <v>10466</v>
      </c>
      <c r="L4137" s="1" t="s">
        <v>1725</v>
      </c>
      <c r="N4137" s="1" t="s">
        <v>1726</v>
      </c>
      <c r="P4137" s="1" t="s">
        <v>810</v>
      </c>
      <c r="Q4137" s="3">
        <v>0</v>
      </c>
      <c r="S4137" s="23" t="s">
        <v>5949</v>
      </c>
      <c r="W4137" s="45" t="str">
        <f>HYPERLINK("http://ictvonline.org/taxonomy/p/taxonomy-history?taxnode_id=201852692","ICTVonline=201852692")</f>
        <v>ICTVonline=201852692</v>
      </c>
      <c r="AA4137" s="1">
        <v>201850000</v>
      </c>
      <c r="AB4137" s="1">
        <v>34</v>
      </c>
    </row>
    <row r="4138" spans="1:28" x14ac:dyDescent="0.15">
      <c r="A4138" s="1">
        <v>10468</v>
      </c>
      <c r="L4138" s="1" t="s">
        <v>1725</v>
      </c>
      <c r="N4138" s="1" t="s">
        <v>1726</v>
      </c>
      <c r="P4138" s="1" t="s">
        <v>3690</v>
      </c>
      <c r="Q4138" s="3">
        <v>0</v>
      </c>
      <c r="S4138" s="23" t="s">
        <v>5949</v>
      </c>
      <c r="W4138" s="45" t="str">
        <f>HYPERLINK("http://ictvonline.org/taxonomy/p/taxonomy-history?taxnode_id=201852693","ICTVonline=201852693")</f>
        <v>ICTVonline=201852693</v>
      </c>
      <c r="AA4138" s="1">
        <v>201850000</v>
      </c>
      <c r="AB4138" s="1">
        <v>34</v>
      </c>
    </row>
    <row r="4139" spans="1:28" x14ac:dyDescent="0.15">
      <c r="A4139" s="1">
        <v>10470</v>
      </c>
      <c r="L4139" s="1" t="s">
        <v>1725</v>
      </c>
      <c r="N4139" s="1" t="s">
        <v>1726</v>
      </c>
      <c r="P4139" s="1" t="s">
        <v>811</v>
      </c>
      <c r="Q4139" s="3">
        <v>0</v>
      </c>
      <c r="S4139" s="23" t="s">
        <v>5949</v>
      </c>
      <c r="W4139" s="45" t="str">
        <f>HYPERLINK("http://ictvonline.org/taxonomy/p/taxonomy-history?taxnode_id=201852694","ICTVonline=201852694")</f>
        <v>ICTVonline=201852694</v>
      </c>
      <c r="AA4139" s="1">
        <v>201850000</v>
      </c>
      <c r="AB4139" s="1">
        <v>34</v>
      </c>
    </row>
    <row r="4140" spans="1:28" x14ac:dyDescent="0.15">
      <c r="A4140" s="1">
        <v>10472</v>
      </c>
      <c r="L4140" s="1" t="s">
        <v>1725</v>
      </c>
      <c r="N4140" s="1" t="s">
        <v>1726</v>
      </c>
      <c r="P4140" s="1" t="s">
        <v>812</v>
      </c>
      <c r="Q4140" s="3">
        <v>0</v>
      </c>
      <c r="S4140" s="23" t="s">
        <v>5949</v>
      </c>
      <c r="W4140" s="45" t="str">
        <f>HYPERLINK("http://ictvonline.org/taxonomy/p/taxonomy-history?taxnode_id=201852695","ICTVonline=201852695")</f>
        <v>ICTVonline=201852695</v>
      </c>
      <c r="AA4140" s="1">
        <v>201850000</v>
      </c>
      <c r="AB4140" s="1">
        <v>34</v>
      </c>
    </row>
    <row r="4141" spans="1:28" x14ac:dyDescent="0.15">
      <c r="A4141" s="1">
        <v>10474</v>
      </c>
      <c r="L4141" s="1" t="s">
        <v>1725</v>
      </c>
      <c r="N4141" s="1" t="s">
        <v>1726</v>
      </c>
      <c r="P4141" s="1" t="s">
        <v>1162</v>
      </c>
      <c r="Q4141" s="3">
        <v>0</v>
      </c>
      <c r="S4141" s="23" t="s">
        <v>5949</v>
      </c>
      <c r="W4141" s="45" t="str">
        <f>HYPERLINK("http://ictvonline.org/taxonomy/p/taxonomy-history?taxnode_id=201852696","ICTVonline=201852696")</f>
        <v>ICTVonline=201852696</v>
      </c>
      <c r="AA4141" s="1">
        <v>201850000</v>
      </c>
      <c r="AB4141" s="1">
        <v>34</v>
      </c>
    </row>
    <row r="4142" spans="1:28" x14ac:dyDescent="0.15">
      <c r="A4142" s="1">
        <v>10478</v>
      </c>
      <c r="L4142" s="1" t="s">
        <v>1725</v>
      </c>
      <c r="N4142" s="1" t="s">
        <v>1163</v>
      </c>
      <c r="P4142" s="1" t="s">
        <v>1164</v>
      </c>
      <c r="Q4142" s="3">
        <v>0</v>
      </c>
      <c r="S4142" s="23" t="s">
        <v>5949</v>
      </c>
      <c r="W4142" s="45" t="str">
        <f>HYPERLINK("http://ictvonline.org/taxonomy/p/taxonomy-history?taxnode_id=201852698","ICTVonline=201852698")</f>
        <v>ICTVonline=201852698</v>
      </c>
      <c r="AA4142" s="1">
        <v>201850000</v>
      </c>
      <c r="AB4142" s="1">
        <v>34</v>
      </c>
    </row>
    <row r="4143" spans="1:28" x14ac:dyDescent="0.15">
      <c r="A4143" s="1">
        <v>10480</v>
      </c>
      <c r="L4143" s="1" t="s">
        <v>1725</v>
      </c>
      <c r="N4143" s="1" t="s">
        <v>1163</v>
      </c>
      <c r="P4143" s="1" t="s">
        <v>3691</v>
      </c>
      <c r="Q4143" s="3">
        <v>0</v>
      </c>
      <c r="S4143" s="23" t="s">
        <v>5949</v>
      </c>
      <c r="W4143" s="45" t="str">
        <f>HYPERLINK("http://ictvonline.org/taxonomy/p/taxonomy-history?taxnode_id=201852699","ICTVonline=201852699")</f>
        <v>ICTVonline=201852699</v>
      </c>
      <c r="AA4143" s="1">
        <v>201850000</v>
      </c>
      <c r="AB4143" s="1">
        <v>34</v>
      </c>
    </row>
    <row r="4144" spans="1:28" x14ac:dyDescent="0.15">
      <c r="A4144" s="1">
        <v>10482</v>
      </c>
      <c r="L4144" s="1" t="s">
        <v>1725</v>
      </c>
      <c r="N4144" s="1" t="s">
        <v>1163</v>
      </c>
      <c r="P4144" s="1" t="s">
        <v>1165</v>
      </c>
      <c r="Q4144" s="3">
        <v>0</v>
      </c>
      <c r="S4144" s="23" t="s">
        <v>5949</v>
      </c>
      <c r="W4144" s="45" t="str">
        <f>HYPERLINK("http://ictvonline.org/taxonomy/p/taxonomy-history?taxnode_id=201852700","ICTVonline=201852700")</f>
        <v>ICTVonline=201852700</v>
      </c>
      <c r="AA4144" s="1">
        <v>201850000</v>
      </c>
      <c r="AB4144" s="1">
        <v>34</v>
      </c>
    </row>
    <row r="4145" spans="1:28" x14ac:dyDescent="0.15">
      <c r="A4145" s="1">
        <v>10484</v>
      </c>
      <c r="L4145" s="1" t="s">
        <v>1725</v>
      </c>
      <c r="N4145" s="1" t="s">
        <v>1163</v>
      </c>
      <c r="P4145" s="1" t="s">
        <v>1166</v>
      </c>
      <c r="Q4145" s="3">
        <v>0</v>
      </c>
      <c r="S4145" s="23" t="s">
        <v>5949</v>
      </c>
      <c r="W4145" s="45" t="str">
        <f>HYPERLINK("http://ictvonline.org/taxonomy/p/taxonomy-history?taxnode_id=201852701","ICTVonline=201852701")</f>
        <v>ICTVonline=201852701</v>
      </c>
      <c r="AA4145" s="1">
        <v>201850000</v>
      </c>
      <c r="AB4145" s="1">
        <v>34</v>
      </c>
    </row>
    <row r="4146" spans="1:28" x14ac:dyDescent="0.15">
      <c r="A4146" s="1">
        <v>10486</v>
      </c>
      <c r="L4146" s="1" t="s">
        <v>1725</v>
      </c>
      <c r="N4146" s="1" t="s">
        <v>1163</v>
      </c>
      <c r="P4146" s="1" t="s">
        <v>4636</v>
      </c>
      <c r="Q4146" s="3">
        <v>0</v>
      </c>
      <c r="S4146" s="23" t="s">
        <v>5949</v>
      </c>
      <c r="W4146" s="45" t="str">
        <f>HYPERLINK("http://ictvonline.org/taxonomy/p/taxonomy-history?taxnode_id=201852702","ICTVonline=201852702")</f>
        <v>ICTVonline=201852702</v>
      </c>
      <c r="AA4146" s="1">
        <v>201850000</v>
      </c>
      <c r="AB4146" s="1">
        <v>34</v>
      </c>
    </row>
    <row r="4147" spans="1:28" x14ac:dyDescent="0.15">
      <c r="A4147" s="1">
        <v>10488</v>
      </c>
      <c r="L4147" s="1" t="s">
        <v>1725</v>
      </c>
      <c r="N4147" s="1" t="s">
        <v>1163</v>
      </c>
      <c r="P4147" s="1" t="s">
        <v>4637</v>
      </c>
      <c r="Q4147" s="3">
        <v>0</v>
      </c>
      <c r="S4147" s="23" t="s">
        <v>5949</v>
      </c>
      <c r="W4147" s="45" t="str">
        <f>HYPERLINK("http://ictvonline.org/taxonomy/p/taxonomy-history?taxnode_id=201852703","ICTVonline=201852703")</f>
        <v>ICTVonline=201852703</v>
      </c>
      <c r="AA4147" s="1">
        <v>201850000</v>
      </c>
      <c r="AB4147" s="1">
        <v>34</v>
      </c>
    </row>
    <row r="4148" spans="1:28" x14ac:dyDescent="0.15">
      <c r="A4148" s="1">
        <v>10490</v>
      </c>
      <c r="L4148" s="1" t="s">
        <v>1725</v>
      </c>
      <c r="N4148" s="1" t="s">
        <v>1163</v>
      </c>
      <c r="P4148" s="1" t="s">
        <v>4638</v>
      </c>
      <c r="Q4148" s="3">
        <v>0</v>
      </c>
      <c r="S4148" s="23" t="s">
        <v>5949</v>
      </c>
      <c r="W4148" s="45" t="str">
        <f>HYPERLINK("http://ictvonline.org/taxonomy/p/taxonomy-history?taxnode_id=201852704","ICTVonline=201852704")</f>
        <v>ICTVonline=201852704</v>
      </c>
      <c r="AA4148" s="1">
        <v>201850000</v>
      </c>
      <c r="AB4148" s="1">
        <v>34</v>
      </c>
    </row>
    <row r="4149" spans="1:28" x14ac:dyDescent="0.15">
      <c r="A4149" s="1">
        <v>10492</v>
      </c>
      <c r="L4149" s="1" t="s">
        <v>1725</v>
      </c>
      <c r="N4149" s="1" t="s">
        <v>1163</v>
      </c>
      <c r="P4149" s="1" t="s">
        <v>5338</v>
      </c>
      <c r="Q4149" s="3">
        <v>0</v>
      </c>
      <c r="S4149" s="23" t="s">
        <v>5949</v>
      </c>
      <c r="W4149" s="45" t="str">
        <f>HYPERLINK("http://ictvonline.org/taxonomy/p/taxonomy-history?taxnode_id=201855756","ICTVonline=201855756")</f>
        <v>ICTVonline=201855756</v>
      </c>
      <c r="AA4149" s="1">
        <v>201850000</v>
      </c>
      <c r="AB4149" s="1">
        <v>34</v>
      </c>
    </row>
    <row r="4150" spans="1:28" x14ac:dyDescent="0.15">
      <c r="A4150" s="1">
        <v>10494</v>
      </c>
      <c r="L4150" s="1" t="s">
        <v>1725</v>
      </c>
      <c r="N4150" s="1" t="s">
        <v>1163</v>
      </c>
      <c r="P4150" s="1" t="s">
        <v>710</v>
      </c>
      <c r="Q4150" s="3">
        <v>0</v>
      </c>
      <c r="S4150" s="23" t="s">
        <v>5949</v>
      </c>
      <c r="W4150" s="45" t="str">
        <f>HYPERLINK("http://ictvonline.org/taxonomy/p/taxonomy-history?taxnode_id=201852705","ICTVonline=201852705")</f>
        <v>ICTVonline=201852705</v>
      </c>
      <c r="AA4150" s="1">
        <v>201850000</v>
      </c>
      <c r="AB4150" s="1">
        <v>34</v>
      </c>
    </row>
    <row r="4151" spans="1:28" x14ac:dyDescent="0.15">
      <c r="A4151" s="1">
        <v>10496</v>
      </c>
      <c r="L4151" s="1" t="s">
        <v>1725</v>
      </c>
      <c r="N4151" s="1" t="s">
        <v>1163</v>
      </c>
      <c r="P4151" s="1" t="s">
        <v>711</v>
      </c>
      <c r="Q4151" s="3">
        <v>1</v>
      </c>
      <c r="S4151" s="23" t="s">
        <v>5949</v>
      </c>
      <c r="W4151" s="45" t="str">
        <f>HYPERLINK("http://ictvonline.org/taxonomy/p/taxonomy-history?taxnode_id=201852706","ICTVonline=201852706")</f>
        <v>ICTVonline=201852706</v>
      </c>
      <c r="AA4151" s="1">
        <v>201850000</v>
      </c>
      <c r="AB4151" s="1">
        <v>34</v>
      </c>
    </row>
    <row r="4152" spans="1:28" x14ac:dyDescent="0.15">
      <c r="A4152" s="1">
        <v>10498</v>
      </c>
      <c r="L4152" s="1" t="s">
        <v>1725</v>
      </c>
      <c r="N4152" s="1" t="s">
        <v>1163</v>
      </c>
      <c r="P4152" s="1" t="s">
        <v>4639</v>
      </c>
      <c r="Q4152" s="3">
        <v>0</v>
      </c>
      <c r="S4152" s="23" t="s">
        <v>5949</v>
      </c>
      <c r="W4152" s="45" t="str">
        <f>HYPERLINK("http://ictvonline.org/taxonomy/p/taxonomy-history?taxnode_id=201852707","ICTVonline=201852707")</f>
        <v>ICTVonline=201852707</v>
      </c>
      <c r="AA4152" s="1">
        <v>201850000</v>
      </c>
      <c r="AB4152" s="1">
        <v>34</v>
      </c>
    </row>
    <row r="4153" spans="1:28" x14ac:dyDescent="0.15">
      <c r="A4153" s="1">
        <v>10500</v>
      </c>
      <c r="L4153" s="1" t="s">
        <v>1725</v>
      </c>
      <c r="N4153" s="1" t="s">
        <v>1163</v>
      </c>
      <c r="P4153" s="1" t="s">
        <v>4640</v>
      </c>
      <c r="Q4153" s="3">
        <v>0</v>
      </c>
      <c r="S4153" s="23" t="s">
        <v>5949</v>
      </c>
      <c r="W4153" s="45" t="str">
        <f>HYPERLINK("http://ictvonline.org/taxonomy/p/taxonomy-history?taxnode_id=201852708","ICTVonline=201852708")</f>
        <v>ICTVonline=201852708</v>
      </c>
      <c r="AA4153" s="1">
        <v>201850000</v>
      </c>
      <c r="AB4153" s="1">
        <v>34</v>
      </c>
    </row>
    <row r="4154" spans="1:28" x14ac:dyDescent="0.15">
      <c r="A4154" s="1">
        <v>10502</v>
      </c>
      <c r="L4154" s="1" t="s">
        <v>1725</v>
      </c>
      <c r="N4154" s="1" t="s">
        <v>1163</v>
      </c>
      <c r="P4154" s="1" t="s">
        <v>3692</v>
      </c>
      <c r="Q4154" s="3">
        <v>0</v>
      </c>
      <c r="S4154" s="23" t="s">
        <v>5949</v>
      </c>
      <c r="W4154" s="45" t="str">
        <f>HYPERLINK("http://ictvonline.org/taxonomy/p/taxonomy-history?taxnode_id=201852709","ICTVonline=201852709")</f>
        <v>ICTVonline=201852709</v>
      </c>
      <c r="AA4154" s="1">
        <v>201850000</v>
      </c>
      <c r="AB4154" s="1">
        <v>34</v>
      </c>
    </row>
    <row r="4155" spans="1:28" x14ac:dyDescent="0.15">
      <c r="A4155" s="1">
        <v>10504</v>
      </c>
      <c r="L4155" s="1" t="s">
        <v>1725</v>
      </c>
      <c r="N4155" s="1" t="s">
        <v>1163</v>
      </c>
      <c r="P4155" s="1" t="s">
        <v>709</v>
      </c>
      <c r="Q4155" s="3">
        <v>0</v>
      </c>
      <c r="S4155" s="23" t="s">
        <v>5949</v>
      </c>
      <c r="W4155" s="45" t="str">
        <f>HYPERLINK("http://ictvonline.org/taxonomy/p/taxonomy-history?taxnode_id=201852710","ICTVonline=201852710")</f>
        <v>ICTVonline=201852710</v>
      </c>
      <c r="AA4155" s="1">
        <v>201850000</v>
      </c>
      <c r="AB4155" s="1">
        <v>34</v>
      </c>
    </row>
    <row r="4156" spans="1:28" x14ac:dyDescent="0.15">
      <c r="A4156" s="1">
        <v>10506</v>
      </c>
      <c r="L4156" s="1" t="s">
        <v>1725</v>
      </c>
      <c r="N4156" s="1" t="s">
        <v>1163</v>
      </c>
      <c r="P4156" s="1" t="s">
        <v>713</v>
      </c>
      <c r="Q4156" s="3">
        <v>0</v>
      </c>
      <c r="S4156" s="23" t="s">
        <v>5949</v>
      </c>
      <c r="W4156" s="45" t="str">
        <f>HYPERLINK("http://ictvonline.org/taxonomy/p/taxonomy-history?taxnode_id=201852711","ICTVonline=201852711")</f>
        <v>ICTVonline=201852711</v>
      </c>
      <c r="AA4156" s="1">
        <v>201850000</v>
      </c>
      <c r="AB4156" s="1">
        <v>34</v>
      </c>
    </row>
    <row r="4157" spans="1:28" x14ac:dyDescent="0.15">
      <c r="A4157" s="1">
        <v>10508</v>
      </c>
      <c r="L4157" s="1" t="s">
        <v>1725</v>
      </c>
      <c r="N4157" s="1" t="s">
        <v>1163</v>
      </c>
      <c r="P4157" s="1" t="s">
        <v>1756</v>
      </c>
      <c r="Q4157" s="3">
        <v>0</v>
      </c>
      <c r="S4157" s="23" t="s">
        <v>5949</v>
      </c>
      <c r="W4157" s="45" t="str">
        <f>HYPERLINK("http://ictvonline.org/taxonomy/p/taxonomy-history?taxnode_id=201852712","ICTVonline=201852712")</f>
        <v>ICTVonline=201852712</v>
      </c>
      <c r="AA4157" s="1">
        <v>201850000</v>
      </c>
      <c r="AB4157" s="1">
        <v>34</v>
      </c>
    </row>
    <row r="4158" spans="1:28" x14ac:dyDescent="0.15">
      <c r="A4158" s="1">
        <v>10510</v>
      </c>
      <c r="L4158" s="1" t="s">
        <v>1725</v>
      </c>
      <c r="N4158" s="1" t="s">
        <v>1163</v>
      </c>
      <c r="P4158" s="1" t="s">
        <v>6980</v>
      </c>
      <c r="Q4158" s="3">
        <v>0</v>
      </c>
      <c r="S4158" s="23" t="s">
        <v>5949</v>
      </c>
      <c r="T4158" s="23" t="s">
        <v>4929</v>
      </c>
      <c r="U4158" s="3">
        <v>34</v>
      </c>
      <c r="V4158" s="3" t="s">
        <v>6973</v>
      </c>
      <c r="W4158" s="45" t="str">
        <f>HYPERLINK("http://ictvonline.org/taxonomy/p/taxonomy-history?taxnode_id=201856533","ICTVonline=201856533")</f>
        <v>ICTVonline=201856533</v>
      </c>
      <c r="AA4158" s="1">
        <v>201850000</v>
      </c>
      <c r="AB4158" s="1">
        <v>34</v>
      </c>
    </row>
    <row r="4159" spans="1:28" x14ac:dyDescent="0.15">
      <c r="A4159" s="1">
        <v>10512</v>
      </c>
      <c r="L4159" s="1" t="s">
        <v>1725</v>
      </c>
      <c r="N4159" s="1" t="s">
        <v>1163</v>
      </c>
      <c r="P4159" s="1" t="s">
        <v>5339</v>
      </c>
      <c r="Q4159" s="3">
        <v>0</v>
      </c>
      <c r="S4159" s="23" t="s">
        <v>5949</v>
      </c>
      <c r="W4159" s="45" t="str">
        <f>HYPERLINK("http://ictvonline.org/taxonomy/p/taxonomy-history?taxnode_id=201852716","ICTVonline=201852716")</f>
        <v>ICTVonline=201852716</v>
      </c>
      <c r="AA4159" s="1">
        <v>201850000</v>
      </c>
      <c r="AB4159" s="1">
        <v>34</v>
      </c>
    </row>
    <row r="4160" spans="1:28" x14ac:dyDescent="0.15">
      <c r="A4160" s="1">
        <v>10514</v>
      </c>
      <c r="L4160" s="1" t="s">
        <v>1725</v>
      </c>
      <c r="N4160" s="1" t="s">
        <v>1163</v>
      </c>
      <c r="P4160" s="1" t="s">
        <v>5340</v>
      </c>
      <c r="Q4160" s="3">
        <v>0</v>
      </c>
      <c r="S4160" s="23" t="s">
        <v>5949</v>
      </c>
      <c r="W4160" s="45" t="str">
        <f>HYPERLINK("http://ictvonline.org/taxonomy/p/taxonomy-history?taxnode_id=201855757","ICTVonline=201855757")</f>
        <v>ICTVonline=201855757</v>
      </c>
      <c r="AA4160" s="1">
        <v>201850000</v>
      </c>
      <c r="AB4160" s="1">
        <v>34</v>
      </c>
    </row>
    <row r="4161" spans="1:28" x14ac:dyDescent="0.15">
      <c r="A4161" s="1">
        <v>10516</v>
      </c>
      <c r="L4161" s="1" t="s">
        <v>1725</v>
      </c>
      <c r="N4161" s="1" t="s">
        <v>1163</v>
      </c>
      <c r="P4161" s="1" t="s">
        <v>1757</v>
      </c>
      <c r="Q4161" s="3">
        <v>0</v>
      </c>
      <c r="S4161" s="23" t="s">
        <v>5949</v>
      </c>
      <c r="W4161" s="45" t="str">
        <f>HYPERLINK("http://ictvonline.org/taxonomy/p/taxonomy-history?taxnode_id=201852713","ICTVonline=201852713")</f>
        <v>ICTVonline=201852713</v>
      </c>
      <c r="AA4161" s="1">
        <v>201850000</v>
      </c>
      <c r="AB4161" s="1">
        <v>34</v>
      </c>
    </row>
    <row r="4162" spans="1:28" x14ac:dyDescent="0.15">
      <c r="A4162" s="1">
        <v>10518</v>
      </c>
      <c r="L4162" s="1" t="s">
        <v>1725</v>
      </c>
      <c r="N4162" s="1" t="s">
        <v>1163</v>
      </c>
      <c r="P4162" s="1" t="s">
        <v>626</v>
      </c>
      <c r="Q4162" s="3">
        <v>0</v>
      </c>
      <c r="S4162" s="23" t="s">
        <v>5949</v>
      </c>
      <c r="W4162" s="45" t="str">
        <f>HYPERLINK("http://ictvonline.org/taxonomy/p/taxonomy-history?taxnode_id=201852714","ICTVonline=201852714")</f>
        <v>ICTVonline=201852714</v>
      </c>
      <c r="AA4162" s="1">
        <v>201850000</v>
      </c>
      <c r="AB4162" s="1">
        <v>34</v>
      </c>
    </row>
    <row r="4163" spans="1:28" x14ac:dyDescent="0.15">
      <c r="A4163" s="1">
        <v>10520</v>
      </c>
      <c r="L4163" s="1" t="s">
        <v>1725</v>
      </c>
      <c r="N4163" s="1" t="s">
        <v>1163</v>
      </c>
      <c r="P4163" s="1" t="s">
        <v>627</v>
      </c>
      <c r="Q4163" s="3">
        <v>0</v>
      </c>
      <c r="S4163" s="23" t="s">
        <v>5949</v>
      </c>
      <c r="W4163" s="45" t="str">
        <f>HYPERLINK("http://ictvonline.org/taxonomy/p/taxonomy-history?taxnode_id=201852715","ICTVonline=201852715")</f>
        <v>ICTVonline=201852715</v>
      </c>
      <c r="AA4163" s="1">
        <v>201850000</v>
      </c>
      <c r="AB4163" s="1">
        <v>34</v>
      </c>
    </row>
    <row r="4164" spans="1:28" x14ac:dyDescent="0.15">
      <c r="A4164" s="1">
        <v>10522</v>
      </c>
      <c r="L4164" s="1" t="s">
        <v>1725</v>
      </c>
      <c r="N4164" s="1" t="s">
        <v>1163</v>
      </c>
      <c r="P4164" s="1" t="s">
        <v>3693</v>
      </c>
      <c r="Q4164" s="3">
        <v>0</v>
      </c>
      <c r="S4164" s="23" t="s">
        <v>5949</v>
      </c>
      <c r="W4164" s="45" t="str">
        <f>HYPERLINK("http://ictvonline.org/taxonomy/p/taxonomy-history?taxnode_id=201852717","ICTVonline=201852717")</f>
        <v>ICTVonline=201852717</v>
      </c>
      <c r="AA4164" s="1">
        <v>201850000</v>
      </c>
      <c r="AB4164" s="1">
        <v>34</v>
      </c>
    </row>
    <row r="4165" spans="1:28" x14ac:dyDescent="0.15">
      <c r="A4165" s="1">
        <v>10524</v>
      </c>
      <c r="L4165" s="1" t="s">
        <v>1725</v>
      </c>
      <c r="N4165" s="1" t="s">
        <v>1163</v>
      </c>
      <c r="P4165" s="1" t="s">
        <v>4641</v>
      </c>
      <c r="Q4165" s="3">
        <v>0</v>
      </c>
      <c r="S4165" s="23" t="s">
        <v>5949</v>
      </c>
      <c r="W4165" s="45" t="str">
        <f>HYPERLINK("http://ictvonline.org/taxonomy/p/taxonomy-history?taxnode_id=201852718","ICTVonline=201852718")</f>
        <v>ICTVonline=201852718</v>
      </c>
      <c r="AA4165" s="1">
        <v>201850000</v>
      </c>
      <c r="AB4165" s="1">
        <v>34</v>
      </c>
    </row>
    <row r="4166" spans="1:28" x14ac:dyDescent="0.15">
      <c r="A4166" s="1">
        <v>10526</v>
      </c>
      <c r="L4166" s="1" t="s">
        <v>1725</v>
      </c>
      <c r="N4166" s="1" t="s">
        <v>1163</v>
      </c>
      <c r="P4166" s="1" t="s">
        <v>1760</v>
      </c>
      <c r="Q4166" s="3">
        <v>0</v>
      </c>
      <c r="S4166" s="23" t="s">
        <v>5949</v>
      </c>
      <c r="W4166" s="45" t="str">
        <f>HYPERLINK("http://ictvonline.org/taxonomy/p/taxonomy-history?taxnode_id=201852719","ICTVonline=201852719")</f>
        <v>ICTVonline=201852719</v>
      </c>
      <c r="AA4166" s="1">
        <v>201850000</v>
      </c>
      <c r="AB4166" s="1">
        <v>34</v>
      </c>
    </row>
    <row r="4167" spans="1:28" x14ac:dyDescent="0.15">
      <c r="A4167" s="1">
        <v>10528</v>
      </c>
      <c r="L4167" s="1" t="s">
        <v>1725</v>
      </c>
      <c r="N4167" s="1" t="s">
        <v>1163</v>
      </c>
      <c r="P4167" s="1" t="s">
        <v>1761</v>
      </c>
      <c r="Q4167" s="3">
        <v>0</v>
      </c>
      <c r="S4167" s="23" t="s">
        <v>5949</v>
      </c>
      <c r="W4167" s="45" t="str">
        <f>HYPERLINK("http://ictvonline.org/taxonomy/p/taxonomy-history?taxnode_id=201852720","ICTVonline=201852720")</f>
        <v>ICTVonline=201852720</v>
      </c>
      <c r="AA4167" s="1">
        <v>201850000</v>
      </c>
      <c r="AB4167" s="1">
        <v>34</v>
      </c>
    </row>
    <row r="4168" spans="1:28" x14ac:dyDescent="0.15">
      <c r="A4168" s="1">
        <v>10532</v>
      </c>
      <c r="L4168" s="1" t="s">
        <v>1725</v>
      </c>
      <c r="N4168" s="1" t="s">
        <v>1762</v>
      </c>
      <c r="P4168" s="1" t="s">
        <v>631</v>
      </c>
      <c r="Q4168" s="3">
        <v>1</v>
      </c>
      <c r="S4168" s="23" t="s">
        <v>5949</v>
      </c>
      <c r="W4168" s="45" t="str">
        <f>HYPERLINK("http://ictvonline.org/taxonomy/p/taxonomy-history?taxnode_id=201852722","ICTVonline=201852722")</f>
        <v>ICTVonline=201852722</v>
      </c>
      <c r="AA4168" s="1">
        <v>201850000</v>
      </c>
      <c r="AB4168" s="1">
        <v>34</v>
      </c>
    </row>
    <row r="4169" spans="1:28" x14ac:dyDescent="0.15">
      <c r="A4169" s="1">
        <v>10536</v>
      </c>
      <c r="L4169" s="1" t="s">
        <v>1725</v>
      </c>
      <c r="N4169" s="1" t="s">
        <v>632</v>
      </c>
      <c r="P4169" s="1" t="s">
        <v>633</v>
      </c>
      <c r="Q4169" s="3">
        <v>1</v>
      </c>
      <c r="S4169" s="23" t="s">
        <v>5949</v>
      </c>
      <c r="W4169" s="45" t="str">
        <f>HYPERLINK("http://ictvonline.org/taxonomy/p/taxonomy-history?taxnode_id=201852724","ICTVonline=201852724")</f>
        <v>ICTVonline=201852724</v>
      </c>
      <c r="AA4169" s="1">
        <v>201850000</v>
      </c>
      <c r="AB4169" s="1">
        <v>34</v>
      </c>
    </row>
    <row r="4170" spans="1:28" x14ac:dyDescent="0.15">
      <c r="A4170" s="1">
        <v>10538</v>
      </c>
      <c r="L4170" s="1" t="s">
        <v>1725</v>
      </c>
      <c r="N4170" s="1" t="s">
        <v>632</v>
      </c>
      <c r="P4170" s="1" t="s">
        <v>1765</v>
      </c>
      <c r="Q4170" s="3">
        <v>0</v>
      </c>
      <c r="S4170" s="23" t="s">
        <v>5949</v>
      </c>
      <c r="W4170" s="45" t="str">
        <f>HYPERLINK("http://ictvonline.org/taxonomy/p/taxonomy-history?taxnode_id=201852725","ICTVonline=201852725")</f>
        <v>ICTVonline=201852725</v>
      </c>
      <c r="AA4170" s="1">
        <v>201850000</v>
      </c>
      <c r="AB4170" s="1">
        <v>34</v>
      </c>
    </row>
    <row r="4171" spans="1:28" x14ac:dyDescent="0.15">
      <c r="A4171" s="1">
        <v>10544</v>
      </c>
      <c r="L4171" s="1" t="s">
        <v>650</v>
      </c>
      <c r="N4171" s="1" t="s">
        <v>651</v>
      </c>
      <c r="P4171" s="1" t="s">
        <v>652</v>
      </c>
      <c r="Q4171" s="3">
        <v>1</v>
      </c>
      <c r="S4171" s="23" t="s">
        <v>5949</v>
      </c>
      <c r="W4171" s="45" t="str">
        <f>HYPERLINK("http://ictvonline.org/taxonomy/p/taxonomy-history?taxnode_id=201852740","ICTVonline=201852740")</f>
        <v>ICTVonline=201852740</v>
      </c>
      <c r="AA4171" s="1">
        <v>201850000</v>
      </c>
      <c r="AB4171" s="1">
        <v>34</v>
      </c>
    </row>
    <row r="4172" spans="1:28" x14ac:dyDescent="0.15">
      <c r="A4172" s="1">
        <v>10550</v>
      </c>
      <c r="L4172" s="1" t="s">
        <v>66</v>
      </c>
      <c r="N4172" s="1" t="s">
        <v>67</v>
      </c>
      <c r="P4172" s="1" t="s">
        <v>68</v>
      </c>
      <c r="Q4172" s="3">
        <v>1</v>
      </c>
      <c r="S4172" s="23" t="s">
        <v>5949</v>
      </c>
      <c r="W4172" s="45" t="str">
        <f>HYPERLINK("http://ictvonline.org/taxonomy/p/taxonomy-history?taxnode_id=201852744","ICTVonline=201852744")</f>
        <v>ICTVonline=201852744</v>
      </c>
      <c r="AA4172" s="1">
        <v>201850000</v>
      </c>
      <c r="AB4172" s="1">
        <v>34</v>
      </c>
    </row>
    <row r="4173" spans="1:28" x14ac:dyDescent="0.15">
      <c r="A4173" s="1">
        <v>10556</v>
      </c>
      <c r="L4173" s="1" t="s">
        <v>6981</v>
      </c>
      <c r="N4173" s="1" t="s">
        <v>6982</v>
      </c>
      <c r="P4173" s="1" t="s">
        <v>6983</v>
      </c>
      <c r="Q4173" s="3">
        <v>1</v>
      </c>
      <c r="S4173" s="23" t="s">
        <v>5949</v>
      </c>
      <c r="T4173" s="23" t="s">
        <v>4929</v>
      </c>
      <c r="U4173" s="3">
        <v>34</v>
      </c>
      <c r="V4173" s="3" t="s">
        <v>6984</v>
      </c>
      <c r="W4173" s="45" t="str">
        <f>HYPERLINK("http://ictvonline.org/taxonomy/p/taxonomy-history?taxnode_id=201856575","ICTVonline=201856575")</f>
        <v>ICTVonline=201856575</v>
      </c>
      <c r="AA4173" s="1">
        <v>201850000</v>
      </c>
      <c r="AB4173" s="1">
        <v>34</v>
      </c>
    </row>
    <row r="4174" spans="1:28" x14ac:dyDescent="0.15">
      <c r="A4174" s="1">
        <v>10558</v>
      </c>
      <c r="L4174" s="1" t="s">
        <v>6981</v>
      </c>
      <c r="N4174" s="1" t="s">
        <v>6982</v>
      </c>
      <c r="P4174" s="1" t="s">
        <v>6985</v>
      </c>
      <c r="Q4174" s="3">
        <v>0</v>
      </c>
      <c r="S4174" s="23" t="s">
        <v>5949</v>
      </c>
      <c r="T4174" s="23" t="s">
        <v>4929</v>
      </c>
      <c r="U4174" s="3">
        <v>34</v>
      </c>
      <c r="V4174" s="3" t="s">
        <v>6984</v>
      </c>
      <c r="W4174" s="45" t="str">
        <f>HYPERLINK("http://ictvonline.org/taxonomy/p/taxonomy-history?taxnode_id=201856576","ICTVonline=201856576")</f>
        <v>ICTVonline=201856576</v>
      </c>
      <c r="AA4174" s="1">
        <v>201850000</v>
      </c>
      <c r="AB4174" s="1">
        <v>34</v>
      </c>
    </row>
    <row r="4175" spans="1:28" x14ac:dyDescent="0.15">
      <c r="A4175" s="1">
        <v>10562</v>
      </c>
      <c r="L4175" s="1" t="s">
        <v>6981</v>
      </c>
      <c r="N4175" s="1" t="s">
        <v>6986</v>
      </c>
      <c r="P4175" s="1" t="s">
        <v>6987</v>
      </c>
      <c r="Q4175" s="3">
        <v>1</v>
      </c>
      <c r="S4175" s="23" t="s">
        <v>5949</v>
      </c>
      <c r="T4175" s="23" t="s">
        <v>4929</v>
      </c>
      <c r="U4175" s="3">
        <v>34</v>
      </c>
      <c r="V4175" s="3" t="s">
        <v>6984</v>
      </c>
      <c r="W4175" s="45" t="str">
        <f>HYPERLINK("http://ictvonline.org/taxonomy/p/taxonomy-history?taxnode_id=201856578","ICTVonline=201856578")</f>
        <v>ICTVonline=201856578</v>
      </c>
      <c r="AA4175" s="1">
        <v>201850000</v>
      </c>
      <c r="AB4175" s="1">
        <v>34</v>
      </c>
    </row>
    <row r="4176" spans="1:28" x14ac:dyDescent="0.15">
      <c r="A4176" s="1">
        <v>10564</v>
      </c>
      <c r="L4176" s="1" t="s">
        <v>6981</v>
      </c>
      <c r="N4176" s="1" t="s">
        <v>6986</v>
      </c>
      <c r="P4176" s="1" t="s">
        <v>6988</v>
      </c>
      <c r="Q4176" s="3">
        <v>0</v>
      </c>
      <c r="S4176" s="23" t="s">
        <v>5949</v>
      </c>
      <c r="T4176" s="23" t="s">
        <v>4929</v>
      </c>
      <c r="U4176" s="3">
        <v>34</v>
      </c>
      <c r="V4176" s="3" t="s">
        <v>6984</v>
      </c>
      <c r="W4176" s="45" t="str">
        <f>HYPERLINK("http://ictvonline.org/taxonomy/p/taxonomy-history?taxnode_id=201856579","ICTVonline=201856579")</f>
        <v>ICTVonline=201856579</v>
      </c>
      <c r="AA4176" s="1">
        <v>201850000</v>
      </c>
      <c r="AB4176" s="1">
        <v>34</v>
      </c>
    </row>
    <row r="4177" spans="1:28" x14ac:dyDescent="0.15">
      <c r="A4177" s="1">
        <v>10568</v>
      </c>
      <c r="L4177" s="1" t="s">
        <v>6981</v>
      </c>
      <c r="N4177" s="1" t="s">
        <v>267</v>
      </c>
      <c r="P4177" s="1" t="s">
        <v>268</v>
      </c>
      <c r="Q4177" s="3">
        <v>0</v>
      </c>
      <c r="S4177" s="23" t="s">
        <v>5949</v>
      </c>
      <c r="T4177" s="23" t="s">
        <v>4931</v>
      </c>
      <c r="U4177" s="3">
        <v>34</v>
      </c>
      <c r="W4177" s="45" t="str">
        <f>HYPERLINK("http://ictvonline.org/taxonomy/p/taxonomy-history?taxnode_id=201855356","ICTVonline=201855356")</f>
        <v>ICTVonline=201855356</v>
      </c>
      <c r="AA4177" s="1">
        <v>201850000</v>
      </c>
      <c r="AB4177" s="1">
        <v>34</v>
      </c>
    </row>
    <row r="4178" spans="1:28" x14ac:dyDescent="0.15">
      <c r="A4178" s="1">
        <v>10570</v>
      </c>
      <c r="L4178" s="1" t="s">
        <v>6981</v>
      </c>
      <c r="N4178" s="1" t="s">
        <v>267</v>
      </c>
      <c r="P4178" s="1" t="s">
        <v>269</v>
      </c>
      <c r="Q4178" s="3">
        <v>0</v>
      </c>
      <c r="S4178" s="23" t="s">
        <v>5949</v>
      </c>
      <c r="T4178" s="23" t="s">
        <v>4931</v>
      </c>
      <c r="U4178" s="3">
        <v>34</v>
      </c>
      <c r="W4178" s="45" t="str">
        <f>HYPERLINK("http://ictvonline.org/taxonomy/p/taxonomy-history?taxnode_id=201855357","ICTVonline=201855357")</f>
        <v>ICTVonline=201855357</v>
      </c>
      <c r="AA4178" s="1">
        <v>201850000</v>
      </c>
      <c r="AB4178" s="1">
        <v>34</v>
      </c>
    </row>
    <row r="4179" spans="1:28" x14ac:dyDescent="0.15">
      <c r="A4179" s="1">
        <v>10572</v>
      </c>
      <c r="L4179" s="1" t="s">
        <v>6981</v>
      </c>
      <c r="N4179" s="1" t="s">
        <v>267</v>
      </c>
      <c r="P4179" s="1" t="s">
        <v>270</v>
      </c>
      <c r="Q4179" s="3">
        <v>1</v>
      </c>
      <c r="S4179" s="23" t="s">
        <v>5949</v>
      </c>
      <c r="T4179" s="23" t="s">
        <v>4931</v>
      </c>
      <c r="U4179" s="3">
        <v>34</v>
      </c>
      <c r="W4179" s="45" t="str">
        <f>HYPERLINK("http://ictvonline.org/taxonomy/p/taxonomy-history?taxnode_id=201855358","ICTVonline=201855358")</f>
        <v>ICTVonline=201855358</v>
      </c>
      <c r="AA4179" s="1">
        <v>201850000</v>
      </c>
      <c r="AB4179" s="1">
        <v>34</v>
      </c>
    </row>
    <row r="4180" spans="1:28" x14ac:dyDescent="0.15">
      <c r="A4180" s="1">
        <v>10576</v>
      </c>
      <c r="L4180" s="1" t="s">
        <v>6981</v>
      </c>
      <c r="N4180" s="1" t="s">
        <v>6989</v>
      </c>
      <c r="P4180" s="1" t="s">
        <v>6990</v>
      </c>
      <c r="Q4180" s="3">
        <v>1</v>
      </c>
      <c r="S4180" s="23" t="s">
        <v>5949</v>
      </c>
      <c r="T4180" s="23" t="s">
        <v>4929</v>
      </c>
      <c r="U4180" s="3">
        <v>34</v>
      </c>
      <c r="V4180" s="3" t="s">
        <v>6984</v>
      </c>
      <c r="W4180" s="45" t="str">
        <f>HYPERLINK("http://ictvonline.org/taxonomy/p/taxonomy-history?taxnode_id=201856284","ICTVonline=201856284")</f>
        <v>ICTVonline=201856284</v>
      </c>
      <c r="AA4180" s="1">
        <v>201850000</v>
      </c>
      <c r="AB4180" s="1">
        <v>34</v>
      </c>
    </row>
    <row r="4181" spans="1:28" x14ac:dyDescent="0.15">
      <c r="A4181" s="1">
        <v>10578</v>
      </c>
      <c r="L4181" s="1" t="s">
        <v>6981</v>
      </c>
      <c r="N4181" s="1" t="s">
        <v>6989</v>
      </c>
      <c r="P4181" s="1" t="s">
        <v>6991</v>
      </c>
      <c r="Q4181" s="3">
        <v>0</v>
      </c>
      <c r="S4181" s="23" t="s">
        <v>5949</v>
      </c>
      <c r="T4181" s="23" t="s">
        <v>4929</v>
      </c>
      <c r="U4181" s="3">
        <v>34</v>
      </c>
      <c r="V4181" s="3" t="s">
        <v>6984</v>
      </c>
      <c r="W4181" s="45" t="str">
        <f>HYPERLINK("http://ictvonline.org/taxonomy/p/taxonomy-history?taxnode_id=201856285","ICTVonline=201856285")</f>
        <v>ICTVonline=201856285</v>
      </c>
      <c r="AA4181" s="1">
        <v>201850000</v>
      </c>
      <c r="AB4181" s="1">
        <v>34</v>
      </c>
    </row>
    <row r="4182" spans="1:28" x14ac:dyDescent="0.15">
      <c r="A4182" s="1">
        <v>10580</v>
      </c>
      <c r="L4182" s="1" t="s">
        <v>6981</v>
      </c>
      <c r="N4182" s="1" t="s">
        <v>6989</v>
      </c>
      <c r="P4182" s="1" t="s">
        <v>6992</v>
      </c>
      <c r="Q4182" s="3">
        <v>0</v>
      </c>
      <c r="S4182" s="23" t="s">
        <v>5949</v>
      </c>
      <c r="T4182" s="23" t="s">
        <v>4929</v>
      </c>
      <c r="U4182" s="3">
        <v>34</v>
      </c>
      <c r="V4182" s="3" t="s">
        <v>6984</v>
      </c>
      <c r="W4182" s="45" t="str">
        <f>HYPERLINK("http://ictvonline.org/taxonomy/p/taxonomy-history?taxnode_id=201856286","ICTVonline=201856286")</f>
        <v>ICTVonline=201856286</v>
      </c>
      <c r="AA4182" s="1">
        <v>201850000</v>
      </c>
      <c r="AB4182" s="1">
        <v>34</v>
      </c>
    </row>
    <row r="4183" spans="1:28" x14ac:dyDescent="0.15">
      <c r="A4183" s="1">
        <v>10586</v>
      </c>
      <c r="L4183" s="1" t="s">
        <v>760</v>
      </c>
      <c r="N4183" s="1" t="s">
        <v>761</v>
      </c>
      <c r="P4183" s="1" t="s">
        <v>3753</v>
      </c>
      <c r="Q4183" s="3">
        <v>0</v>
      </c>
      <c r="S4183" s="23" t="s">
        <v>5949</v>
      </c>
      <c r="W4183" s="45" t="str">
        <f>HYPERLINK("http://ictvonline.org/taxonomy/p/taxonomy-history?taxnode_id=201852903","ICTVonline=201852903")</f>
        <v>ICTVonline=201852903</v>
      </c>
      <c r="AA4183" s="1">
        <v>201850000</v>
      </c>
      <c r="AB4183" s="1">
        <v>34</v>
      </c>
    </row>
    <row r="4184" spans="1:28" x14ac:dyDescent="0.15">
      <c r="A4184" s="1">
        <v>10588</v>
      </c>
      <c r="L4184" s="1" t="s">
        <v>760</v>
      </c>
      <c r="N4184" s="1" t="s">
        <v>761</v>
      </c>
      <c r="P4184" s="1" t="s">
        <v>4957</v>
      </c>
      <c r="Q4184" s="3">
        <v>0</v>
      </c>
      <c r="S4184" s="23" t="s">
        <v>5949</v>
      </c>
      <c r="W4184" s="45" t="str">
        <f>HYPERLINK("http://ictvonline.org/taxonomy/p/taxonomy-history?taxnode_id=201852904","ICTVonline=201852904")</f>
        <v>ICTVonline=201852904</v>
      </c>
      <c r="AA4184" s="1">
        <v>201850000</v>
      </c>
      <c r="AB4184" s="1">
        <v>34</v>
      </c>
    </row>
    <row r="4185" spans="1:28" x14ac:dyDescent="0.15">
      <c r="A4185" s="1">
        <v>10590</v>
      </c>
      <c r="L4185" s="1" t="s">
        <v>760</v>
      </c>
      <c r="N4185" s="1" t="s">
        <v>761</v>
      </c>
      <c r="P4185" s="1" t="s">
        <v>4958</v>
      </c>
      <c r="Q4185" s="3">
        <v>0</v>
      </c>
      <c r="S4185" s="23" t="s">
        <v>5949</v>
      </c>
      <c r="W4185" s="45" t="str">
        <f>HYPERLINK("http://ictvonline.org/taxonomy/p/taxonomy-history?taxnode_id=201852905","ICTVonline=201852905")</f>
        <v>ICTVonline=201852905</v>
      </c>
      <c r="AA4185" s="1">
        <v>201850000</v>
      </c>
      <c r="AB4185" s="1">
        <v>34</v>
      </c>
    </row>
    <row r="4186" spans="1:28" x14ac:dyDescent="0.15">
      <c r="A4186" s="1">
        <v>10592</v>
      </c>
      <c r="L4186" s="1" t="s">
        <v>760</v>
      </c>
      <c r="N4186" s="1" t="s">
        <v>761</v>
      </c>
      <c r="P4186" s="1" t="s">
        <v>4959</v>
      </c>
      <c r="Q4186" s="3">
        <v>0</v>
      </c>
      <c r="S4186" s="23" t="s">
        <v>5949</v>
      </c>
      <c r="W4186" s="45" t="str">
        <f>HYPERLINK("http://ictvonline.org/taxonomy/p/taxonomy-history?taxnode_id=201852906","ICTVonline=201852906")</f>
        <v>ICTVonline=201852906</v>
      </c>
      <c r="AA4186" s="1">
        <v>201850000</v>
      </c>
      <c r="AB4186" s="1">
        <v>34</v>
      </c>
    </row>
    <row r="4187" spans="1:28" x14ac:dyDescent="0.15">
      <c r="A4187" s="1">
        <v>10594</v>
      </c>
      <c r="L4187" s="1" t="s">
        <v>760</v>
      </c>
      <c r="N4187" s="1" t="s">
        <v>761</v>
      </c>
      <c r="P4187" s="1" t="s">
        <v>4646</v>
      </c>
      <c r="Q4187" s="3">
        <v>0</v>
      </c>
      <c r="S4187" s="23" t="s">
        <v>5949</v>
      </c>
      <c r="W4187" s="45" t="str">
        <f>HYPERLINK("http://ictvonline.org/taxonomy/p/taxonomy-history?taxnode_id=201852907","ICTVonline=201852907")</f>
        <v>ICTVonline=201852907</v>
      </c>
      <c r="AA4187" s="1">
        <v>201850000</v>
      </c>
      <c r="AB4187" s="1">
        <v>34</v>
      </c>
    </row>
    <row r="4188" spans="1:28" x14ac:dyDescent="0.15">
      <c r="A4188" s="1">
        <v>10596</v>
      </c>
      <c r="L4188" s="1" t="s">
        <v>760</v>
      </c>
      <c r="N4188" s="1" t="s">
        <v>761</v>
      </c>
      <c r="P4188" s="1" t="s">
        <v>4647</v>
      </c>
      <c r="Q4188" s="3">
        <v>0</v>
      </c>
      <c r="S4188" s="23" t="s">
        <v>5949</v>
      </c>
      <c r="W4188" s="45" t="str">
        <f>HYPERLINK("http://ictvonline.org/taxonomy/p/taxonomy-history?taxnode_id=201852908","ICTVonline=201852908")</f>
        <v>ICTVonline=201852908</v>
      </c>
      <c r="AA4188" s="1">
        <v>201850000</v>
      </c>
      <c r="AB4188" s="1">
        <v>34</v>
      </c>
    </row>
    <row r="4189" spans="1:28" x14ac:dyDescent="0.15">
      <c r="A4189" s="1">
        <v>10598</v>
      </c>
      <c r="L4189" s="1" t="s">
        <v>760</v>
      </c>
      <c r="N4189" s="1" t="s">
        <v>761</v>
      </c>
      <c r="P4189" s="1" t="s">
        <v>4648</v>
      </c>
      <c r="Q4189" s="3">
        <v>0</v>
      </c>
      <c r="S4189" s="23" t="s">
        <v>5949</v>
      </c>
      <c r="W4189" s="45" t="str">
        <f>HYPERLINK("http://ictvonline.org/taxonomy/p/taxonomy-history?taxnode_id=201852909","ICTVonline=201852909")</f>
        <v>ICTVonline=201852909</v>
      </c>
      <c r="AA4189" s="1">
        <v>201850000</v>
      </c>
      <c r="AB4189" s="1">
        <v>34</v>
      </c>
    </row>
    <row r="4190" spans="1:28" x14ac:dyDescent="0.15">
      <c r="A4190" s="1">
        <v>10600</v>
      </c>
      <c r="L4190" s="1" t="s">
        <v>760</v>
      </c>
      <c r="N4190" s="1" t="s">
        <v>761</v>
      </c>
      <c r="P4190" s="1" t="s">
        <v>4649</v>
      </c>
      <c r="Q4190" s="3">
        <v>0</v>
      </c>
      <c r="S4190" s="23" t="s">
        <v>5949</v>
      </c>
      <c r="W4190" s="45" t="str">
        <f>HYPERLINK("http://ictvonline.org/taxonomy/p/taxonomy-history?taxnode_id=201852910","ICTVonline=201852910")</f>
        <v>ICTVonline=201852910</v>
      </c>
      <c r="AA4190" s="1">
        <v>201850000</v>
      </c>
      <c r="AB4190" s="1">
        <v>34</v>
      </c>
    </row>
    <row r="4191" spans="1:28" x14ac:dyDescent="0.15">
      <c r="A4191" s="1">
        <v>10602</v>
      </c>
      <c r="L4191" s="1" t="s">
        <v>760</v>
      </c>
      <c r="N4191" s="1" t="s">
        <v>761</v>
      </c>
      <c r="P4191" s="1" t="s">
        <v>4650</v>
      </c>
      <c r="Q4191" s="3">
        <v>0</v>
      </c>
      <c r="S4191" s="23" t="s">
        <v>5949</v>
      </c>
      <c r="W4191" s="45" t="str">
        <f>HYPERLINK("http://ictvonline.org/taxonomy/p/taxonomy-history?taxnode_id=201852911","ICTVonline=201852911")</f>
        <v>ICTVonline=201852911</v>
      </c>
      <c r="AA4191" s="1">
        <v>201850000</v>
      </c>
      <c r="AB4191" s="1">
        <v>34</v>
      </c>
    </row>
    <row r="4192" spans="1:28" x14ac:dyDescent="0.15">
      <c r="A4192" s="1">
        <v>10604</v>
      </c>
      <c r="L4192" s="1" t="s">
        <v>760</v>
      </c>
      <c r="N4192" s="1" t="s">
        <v>761</v>
      </c>
      <c r="P4192" s="1" t="s">
        <v>5346</v>
      </c>
      <c r="Q4192" s="3">
        <v>0</v>
      </c>
      <c r="S4192" s="23" t="s">
        <v>5949</v>
      </c>
      <c r="W4192" s="45" t="str">
        <f>HYPERLINK("http://ictvonline.org/taxonomy/p/taxonomy-history?taxnode_id=201855767","ICTVonline=201855767")</f>
        <v>ICTVonline=201855767</v>
      </c>
      <c r="AA4192" s="1">
        <v>201850000</v>
      </c>
      <c r="AB4192" s="1">
        <v>34</v>
      </c>
    </row>
    <row r="4193" spans="1:28" x14ac:dyDescent="0.15">
      <c r="A4193" s="1">
        <v>10606</v>
      </c>
      <c r="L4193" s="1" t="s">
        <v>760</v>
      </c>
      <c r="N4193" s="1" t="s">
        <v>761</v>
      </c>
      <c r="P4193" s="1" t="s">
        <v>7026</v>
      </c>
      <c r="Q4193" s="3">
        <v>0</v>
      </c>
      <c r="S4193" s="23" t="s">
        <v>5949</v>
      </c>
      <c r="T4193" s="23" t="s">
        <v>4929</v>
      </c>
      <c r="U4193" s="3">
        <v>34</v>
      </c>
      <c r="V4193" s="3" t="s">
        <v>7027</v>
      </c>
      <c r="W4193" s="45" t="str">
        <f>HYPERLINK("http://ictvonline.org/taxonomy/p/taxonomy-history?taxnode_id=201856561","ICTVonline=201856561")</f>
        <v>ICTVonline=201856561</v>
      </c>
      <c r="AA4193" s="1">
        <v>201850000</v>
      </c>
      <c r="AB4193" s="1">
        <v>34</v>
      </c>
    </row>
    <row r="4194" spans="1:28" x14ac:dyDescent="0.15">
      <c r="A4194" s="1">
        <v>10608</v>
      </c>
      <c r="L4194" s="1" t="s">
        <v>760</v>
      </c>
      <c r="N4194" s="1" t="s">
        <v>761</v>
      </c>
      <c r="P4194" s="1" t="s">
        <v>7028</v>
      </c>
      <c r="Q4194" s="3">
        <v>0</v>
      </c>
      <c r="S4194" s="23" t="s">
        <v>5949</v>
      </c>
      <c r="T4194" s="23" t="s">
        <v>4929</v>
      </c>
      <c r="U4194" s="3">
        <v>34</v>
      </c>
      <c r="V4194" s="3" t="s">
        <v>7027</v>
      </c>
      <c r="W4194" s="45" t="str">
        <f>HYPERLINK("http://ictvonline.org/taxonomy/p/taxonomy-history?taxnode_id=201856562","ICTVonline=201856562")</f>
        <v>ICTVonline=201856562</v>
      </c>
      <c r="AA4194" s="1">
        <v>201850000</v>
      </c>
      <c r="AB4194" s="1">
        <v>34</v>
      </c>
    </row>
    <row r="4195" spans="1:28" x14ac:dyDescent="0.15">
      <c r="A4195" s="1">
        <v>10610</v>
      </c>
      <c r="L4195" s="1" t="s">
        <v>760</v>
      </c>
      <c r="N4195" s="1" t="s">
        <v>761</v>
      </c>
      <c r="P4195" s="1" t="s">
        <v>1793</v>
      </c>
      <c r="Q4195" s="3">
        <v>0</v>
      </c>
      <c r="S4195" s="23" t="s">
        <v>5949</v>
      </c>
      <c r="W4195" s="45" t="str">
        <f>HYPERLINK("http://ictvonline.org/taxonomy/p/taxonomy-history?taxnode_id=201852912","ICTVonline=201852912")</f>
        <v>ICTVonline=201852912</v>
      </c>
      <c r="AA4195" s="1">
        <v>201850000</v>
      </c>
      <c r="AB4195" s="1">
        <v>34</v>
      </c>
    </row>
    <row r="4196" spans="1:28" x14ac:dyDescent="0.15">
      <c r="A4196" s="1">
        <v>10612</v>
      </c>
      <c r="L4196" s="1" t="s">
        <v>760</v>
      </c>
      <c r="N4196" s="1" t="s">
        <v>761</v>
      </c>
      <c r="P4196" s="1" t="s">
        <v>1794</v>
      </c>
      <c r="Q4196" s="3">
        <v>0</v>
      </c>
      <c r="S4196" s="23" t="s">
        <v>5949</v>
      </c>
      <c r="W4196" s="45" t="str">
        <f>HYPERLINK("http://ictvonline.org/taxonomy/p/taxonomy-history?taxnode_id=201852913","ICTVonline=201852913")</f>
        <v>ICTVonline=201852913</v>
      </c>
      <c r="AA4196" s="1">
        <v>201850000</v>
      </c>
      <c r="AB4196" s="1">
        <v>34</v>
      </c>
    </row>
    <row r="4197" spans="1:28" x14ac:dyDescent="0.15">
      <c r="A4197" s="1">
        <v>10614</v>
      </c>
      <c r="L4197" s="1" t="s">
        <v>760</v>
      </c>
      <c r="N4197" s="1" t="s">
        <v>761</v>
      </c>
      <c r="P4197" s="1" t="s">
        <v>3754</v>
      </c>
      <c r="Q4197" s="3">
        <v>0</v>
      </c>
      <c r="S4197" s="23" t="s">
        <v>5949</v>
      </c>
      <c r="W4197" s="45" t="str">
        <f>HYPERLINK("http://ictvonline.org/taxonomy/p/taxonomy-history?taxnode_id=201852914","ICTVonline=201852914")</f>
        <v>ICTVonline=201852914</v>
      </c>
      <c r="AA4197" s="1">
        <v>201850000</v>
      </c>
      <c r="AB4197" s="1">
        <v>34</v>
      </c>
    </row>
    <row r="4198" spans="1:28" x14ac:dyDescent="0.15">
      <c r="A4198" s="1">
        <v>10616</v>
      </c>
      <c r="L4198" s="1" t="s">
        <v>760</v>
      </c>
      <c r="N4198" s="1" t="s">
        <v>761</v>
      </c>
      <c r="P4198" s="1" t="s">
        <v>4960</v>
      </c>
      <c r="Q4198" s="3">
        <v>0</v>
      </c>
      <c r="S4198" s="23" t="s">
        <v>5949</v>
      </c>
      <c r="W4198" s="45" t="str">
        <f>HYPERLINK("http://ictvonline.org/taxonomy/p/taxonomy-history?taxnode_id=201852915","ICTVonline=201852915")</f>
        <v>ICTVonline=201852915</v>
      </c>
      <c r="AA4198" s="1">
        <v>201850000</v>
      </c>
      <c r="AB4198" s="1">
        <v>34</v>
      </c>
    </row>
    <row r="4199" spans="1:28" x14ac:dyDescent="0.15">
      <c r="A4199" s="1">
        <v>10618</v>
      </c>
      <c r="L4199" s="1" t="s">
        <v>760</v>
      </c>
      <c r="N4199" s="1" t="s">
        <v>761</v>
      </c>
      <c r="P4199" s="1" t="s">
        <v>763</v>
      </c>
      <c r="Q4199" s="3">
        <v>0</v>
      </c>
      <c r="S4199" s="23" t="s">
        <v>5949</v>
      </c>
      <c r="W4199" s="45" t="str">
        <f>HYPERLINK("http://ictvonline.org/taxonomy/p/taxonomy-history?taxnode_id=201852916","ICTVonline=201852916")</f>
        <v>ICTVonline=201852916</v>
      </c>
      <c r="AA4199" s="1">
        <v>201850000</v>
      </c>
      <c r="AB4199" s="1">
        <v>34</v>
      </c>
    </row>
    <row r="4200" spans="1:28" x14ac:dyDescent="0.15">
      <c r="A4200" s="1">
        <v>10620</v>
      </c>
      <c r="L4200" s="1" t="s">
        <v>760</v>
      </c>
      <c r="N4200" s="1" t="s">
        <v>761</v>
      </c>
      <c r="P4200" s="1" t="s">
        <v>3755</v>
      </c>
      <c r="Q4200" s="3">
        <v>0</v>
      </c>
      <c r="S4200" s="23" t="s">
        <v>5949</v>
      </c>
      <c r="W4200" s="45" t="str">
        <f>HYPERLINK("http://ictvonline.org/taxonomy/p/taxonomy-history?taxnode_id=201852917","ICTVonline=201852917")</f>
        <v>ICTVonline=201852917</v>
      </c>
      <c r="AA4200" s="1">
        <v>201850000</v>
      </c>
      <c r="AB4200" s="1">
        <v>34</v>
      </c>
    </row>
    <row r="4201" spans="1:28" x14ac:dyDescent="0.15">
      <c r="A4201" s="1">
        <v>10622</v>
      </c>
      <c r="L4201" s="1" t="s">
        <v>760</v>
      </c>
      <c r="N4201" s="1" t="s">
        <v>761</v>
      </c>
      <c r="P4201" s="1" t="s">
        <v>1214</v>
      </c>
      <c r="Q4201" s="3">
        <v>0</v>
      </c>
      <c r="S4201" s="23" t="s">
        <v>5949</v>
      </c>
      <c r="W4201" s="45" t="str">
        <f>HYPERLINK("http://ictvonline.org/taxonomy/p/taxonomy-history?taxnode_id=201852918","ICTVonline=201852918")</f>
        <v>ICTVonline=201852918</v>
      </c>
      <c r="AA4201" s="1">
        <v>201850000</v>
      </c>
      <c r="AB4201" s="1">
        <v>34</v>
      </c>
    </row>
    <row r="4202" spans="1:28" x14ac:dyDescent="0.15">
      <c r="A4202" s="1">
        <v>10624</v>
      </c>
      <c r="L4202" s="1" t="s">
        <v>760</v>
      </c>
      <c r="N4202" s="1" t="s">
        <v>761</v>
      </c>
      <c r="P4202" s="1" t="s">
        <v>1215</v>
      </c>
      <c r="Q4202" s="3">
        <v>0</v>
      </c>
      <c r="S4202" s="23" t="s">
        <v>5949</v>
      </c>
      <c r="W4202" s="45" t="str">
        <f>HYPERLINK("http://ictvonline.org/taxonomy/p/taxonomy-history?taxnode_id=201852919","ICTVonline=201852919")</f>
        <v>ICTVonline=201852919</v>
      </c>
      <c r="AA4202" s="1">
        <v>201850000</v>
      </c>
      <c r="AB4202" s="1">
        <v>34</v>
      </c>
    </row>
    <row r="4203" spans="1:28" x14ac:dyDescent="0.15">
      <c r="A4203" s="1">
        <v>10626</v>
      </c>
      <c r="L4203" s="1" t="s">
        <v>760</v>
      </c>
      <c r="N4203" s="1" t="s">
        <v>761</v>
      </c>
      <c r="P4203" s="1" t="s">
        <v>1216</v>
      </c>
      <c r="Q4203" s="3">
        <v>0</v>
      </c>
      <c r="S4203" s="23" t="s">
        <v>5949</v>
      </c>
      <c r="W4203" s="45" t="str">
        <f>HYPERLINK("http://ictvonline.org/taxonomy/p/taxonomy-history?taxnode_id=201852920","ICTVonline=201852920")</f>
        <v>ICTVonline=201852920</v>
      </c>
      <c r="AA4203" s="1">
        <v>201850000</v>
      </c>
      <c r="AB4203" s="1">
        <v>34</v>
      </c>
    </row>
    <row r="4204" spans="1:28" x14ac:dyDescent="0.15">
      <c r="A4204" s="1">
        <v>10628</v>
      </c>
      <c r="L4204" s="1" t="s">
        <v>760</v>
      </c>
      <c r="N4204" s="1" t="s">
        <v>761</v>
      </c>
      <c r="P4204" s="1" t="s">
        <v>4961</v>
      </c>
      <c r="Q4204" s="3">
        <v>0</v>
      </c>
      <c r="S4204" s="23" t="s">
        <v>5949</v>
      </c>
      <c r="W4204" s="45" t="str">
        <f>HYPERLINK("http://ictvonline.org/taxonomy/p/taxonomy-history?taxnode_id=201852921","ICTVonline=201852921")</f>
        <v>ICTVonline=201852921</v>
      </c>
      <c r="AA4204" s="1">
        <v>201850000</v>
      </c>
      <c r="AB4204" s="1">
        <v>34</v>
      </c>
    </row>
    <row r="4205" spans="1:28" x14ac:dyDescent="0.15">
      <c r="A4205" s="1">
        <v>10630</v>
      </c>
      <c r="L4205" s="1" t="s">
        <v>760</v>
      </c>
      <c r="N4205" s="1" t="s">
        <v>761</v>
      </c>
      <c r="P4205" s="1" t="s">
        <v>3756</v>
      </c>
      <c r="Q4205" s="3">
        <v>0</v>
      </c>
      <c r="S4205" s="23" t="s">
        <v>5949</v>
      </c>
      <c r="W4205" s="45" t="str">
        <f>HYPERLINK("http://ictvonline.org/taxonomy/p/taxonomy-history?taxnode_id=201852922","ICTVonline=201852922")</f>
        <v>ICTVonline=201852922</v>
      </c>
      <c r="AA4205" s="1">
        <v>201850000</v>
      </c>
      <c r="AB4205" s="1">
        <v>34</v>
      </c>
    </row>
    <row r="4206" spans="1:28" x14ac:dyDescent="0.15">
      <c r="A4206" s="1">
        <v>10632</v>
      </c>
      <c r="L4206" s="1" t="s">
        <v>760</v>
      </c>
      <c r="N4206" s="1" t="s">
        <v>761</v>
      </c>
      <c r="P4206" s="1" t="s">
        <v>762</v>
      </c>
      <c r="Q4206" s="3">
        <v>0</v>
      </c>
      <c r="S4206" s="23" t="s">
        <v>5949</v>
      </c>
      <c r="W4206" s="45" t="str">
        <f>HYPERLINK("http://ictvonline.org/taxonomy/p/taxonomy-history?taxnode_id=201852923","ICTVonline=201852923")</f>
        <v>ICTVonline=201852923</v>
      </c>
      <c r="AA4206" s="1">
        <v>201850000</v>
      </c>
      <c r="AB4206" s="1">
        <v>34</v>
      </c>
    </row>
    <row r="4207" spans="1:28" x14ac:dyDescent="0.15">
      <c r="A4207" s="1">
        <v>10634</v>
      </c>
      <c r="L4207" s="1" t="s">
        <v>760</v>
      </c>
      <c r="N4207" s="1" t="s">
        <v>761</v>
      </c>
      <c r="P4207" s="1" t="s">
        <v>3757</v>
      </c>
      <c r="Q4207" s="3">
        <v>1</v>
      </c>
      <c r="S4207" s="23" t="s">
        <v>5949</v>
      </c>
      <c r="W4207" s="45" t="str">
        <f>HYPERLINK("http://ictvonline.org/taxonomy/p/taxonomy-history?taxnode_id=201852924","ICTVonline=201852924")</f>
        <v>ICTVonline=201852924</v>
      </c>
      <c r="AA4207" s="1">
        <v>201850000</v>
      </c>
      <c r="AB4207" s="1">
        <v>34</v>
      </c>
    </row>
    <row r="4208" spans="1:28" x14ac:dyDescent="0.15">
      <c r="A4208" s="1">
        <v>10636</v>
      </c>
      <c r="L4208" s="1" t="s">
        <v>760</v>
      </c>
      <c r="N4208" s="1" t="s">
        <v>761</v>
      </c>
      <c r="P4208" s="1" t="s">
        <v>3758</v>
      </c>
      <c r="Q4208" s="3">
        <v>0</v>
      </c>
      <c r="S4208" s="23" t="s">
        <v>5949</v>
      </c>
      <c r="W4208" s="45" t="str">
        <f>HYPERLINK("http://ictvonline.org/taxonomy/p/taxonomy-history?taxnode_id=201852925","ICTVonline=201852925")</f>
        <v>ICTVonline=201852925</v>
      </c>
      <c r="AA4208" s="1">
        <v>201850000</v>
      </c>
      <c r="AB4208" s="1">
        <v>34</v>
      </c>
    </row>
    <row r="4209" spans="1:28" x14ac:dyDescent="0.15">
      <c r="A4209" s="1">
        <v>10638</v>
      </c>
      <c r="L4209" s="1" t="s">
        <v>760</v>
      </c>
      <c r="N4209" s="1" t="s">
        <v>761</v>
      </c>
      <c r="P4209" s="1" t="s">
        <v>5347</v>
      </c>
      <c r="Q4209" s="3">
        <v>0</v>
      </c>
      <c r="S4209" s="23" t="s">
        <v>5949</v>
      </c>
      <c r="W4209" s="45" t="str">
        <f>HYPERLINK("http://ictvonline.org/taxonomy/p/taxonomy-history?taxnode_id=201855768","ICTVonline=201855768")</f>
        <v>ICTVonline=201855768</v>
      </c>
      <c r="AA4209" s="1">
        <v>201850000</v>
      </c>
      <c r="AB4209" s="1">
        <v>34</v>
      </c>
    </row>
    <row r="4210" spans="1:28" x14ac:dyDescent="0.15">
      <c r="A4210" s="1">
        <v>10640</v>
      </c>
      <c r="L4210" s="1" t="s">
        <v>760</v>
      </c>
      <c r="N4210" s="1" t="s">
        <v>761</v>
      </c>
      <c r="P4210" s="1" t="s">
        <v>3759</v>
      </c>
      <c r="Q4210" s="3">
        <v>0</v>
      </c>
      <c r="S4210" s="23" t="s">
        <v>5949</v>
      </c>
      <c r="W4210" s="45" t="str">
        <f>HYPERLINK("http://ictvonline.org/taxonomy/p/taxonomy-history?taxnode_id=201852926","ICTVonline=201852926")</f>
        <v>ICTVonline=201852926</v>
      </c>
      <c r="AA4210" s="1">
        <v>201850000</v>
      </c>
      <c r="AB4210" s="1">
        <v>34</v>
      </c>
    </row>
    <row r="4211" spans="1:28" x14ac:dyDescent="0.15">
      <c r="A4211" s="1">
        <v>10642</v>
      </c>
      <c r="L4211" s="1" t="s">
        <v>760</v>
      </c>
      <c r="N4211" s="1" t="s">
        <v>761</v>
      </c>
      <c r="P4211" s="1" t="s">
        <v>7029</v>
      </c>
      <c r="Q4211" s="3">
        <v>0</v>
      </c>
      <c r="S4211" s="23" t="s">
        <v>5949</v>
      </c>
      <c r="T4211" s="23" t="s">
        <v>4929</v>
      </c>
      <c r="U4211" s="3">
        <v>34</v>
      </c>
      <c r="V4211" s="3" t="s">
        <v>7027</v>
      </c>
      <c r="W4211" s="45" t="str">
        <f>HYPERLINK("http://ictvonline.org/taxonomy/p/taxonomy-history?taxnode_id=201856563","ICTVonline=201856563")</f>
        <v>ICTVonline=201856563</v>
      </c>
      <c r="AA4211" s="1">
        <v>201850000</v>
      </c>
      <c r="AB4211" s="1">
        <v>34</v>
      </c>
    </row>
    <row r="4212" spans="1:28" x14ac:dyDescent="0.15">
      <c r="A4212" s="1">
        <v>10644</v>
      </c>
      <c r="L4212" s="1" t="s">
        <v>760</v>
      </c>
      <c r="N4212" s="1" t="s">
        <v>761</v>
      </c>
      <c r="P4212" s="1" t="s">
        <v>7030</v>
      </c>
      <c r="Q4212" s="3">
        <v>0</v>
      </c>
      <c r="S4212" s="23" t="s">
        <v>5949</v>
      </c>
      <c r="T4212" s="23" t="s">
        <v>4929</v>
      </c>
      <c r="U4212" s="3">
        <v>34</v>
      </c>
      <c r="V4212" s="3" t="s">
        <v>7027</v>
      </c>
      <c r="W4212" s="45" t="str">
        <f>HYPERLINK("http://ictvonline.org/taxonomy/p/taxonomy-history?taxnode_id=201856564","ICTVonline=201856564")</f>
        <v>ICTVonline=201856564</v>
      </c>
      <c r="AA4212" s="1">
        <v>201850000</v>
      </c>
      <c r="AB4212" s="1">
        <v>34</v>
      </c>
    </row>
    <row r="4213" spans="1:28" x14ac:dyDescent="0.15">
      <c r="A4213" s="1">
        <v>10646</v>
      </c>
      <c r="L4213" s="1" t="s">
        <v>760</v>
      </c>
      <c r="N4213" s="1" t="s">
        <v>761</v>
      </c>
      <c r="P4213" s="1" t="s">
        <v>7031</v>
      </c>
      <c r="Q4213" s="3">
        <v>0</v>
      </c>
      <c r="S4213" s="23" t="s">
        <v>5949</v>
      </c>
      <c r="T4213" s="23" t="s">
        <v>4929</v>
      </c>
      <c r="U4213" s="3">
        <v>34</v>
      </c>
      <c r="V4213" s="3" t="s">
        <v>7027</v>
      </c>
      <c r="W4213" s="45" t="str">
        <f>HYPERLINK("http://ictvonline.org/taxonomy/p/taxonomy-history?taxnode_id=201856565","ICTVonline=201856565")</f>
        <v>ICTVonline=201856565</v>
      </c>
      <c r="AA4213" s="1">
        <v>201850000</v>
      </c>
      <c r="AB4213" s="1">
        <v>34</v>
      </c>
    </row>
    <row r="4214" spans="1:28" x14ac:dyDescent="0.15">
      <c r="A4214" s="1">
        <v>10648</v>
      </c>
      <c r="L4214" s="1" t="s">
        <v>760</v>
      </c>
      <c r="N4214" s="1" t="s">
        <v>761</v>
      </c>
      <c r="P4214" s="1" t="s">
        <v>7032</v>
      </c>
      <c r="Q4214" s="3">
        <v>0</v>
      </c>
      <c r="S4214" s="23" t="s">
        <v>5949</v>
      </c>
      <c r="T4214" s="23" t="s">
        <v>4929</v>
      </c>
      <c r="U4214" s="3">
        <v>34</v>
      </c>
      <c r="V4214" s="3" t="s">
        <v>7027</v>
      </c>
      <c r="W4214" s="45" t="str">
        <f>HYPERLINK("http://ictvonline.org/taxonomy/p/taxonomy-history?taxnode_id=201856566","ICTVonline=201856566")</f>
        <v>ICTVonline=201856566</v>
      </c>
      <c r="AA4214" s="1">
        <v>201850000</v>
      </c>
      <c r="AB4214" s="1">
        <v>34</v>
      </c>
    </row>
    <row r="4215" spans="1:28" x14ac:dyDescent="0.15">
      <c r="A4215" s="1">
        <v>10650</v>
      </c>
      <c r="L4215" s="1" t="s">
        <v>760</v>
      </c>
      <c r="N4215" s="1" t="s">
        <v>761</v>
      </c>
      <c r="P4215" s="1" t="s">
        <v>7033</v>
      </c>
      <c r="Q4215" s="3">
        <v>0</v>
      </c>
      <c r="S4215" s="23" t="s">
        <v>5949</v>
      </c>
      <c r="T4215" s="23" t="s">
        <v>4929</v>
      </c>
      <c r="U4215" s="3">
        <v>34</v>
      </c>
      <c r="V4215" s="3" t="s">
        <v>7027</v>
      </c>
      <c r="W4215" s="45" t="str">
        <f>HYPERLINK("http://ictvonline.org/taxonomy/p/taxonomy-history?taxnode_id=201856567","ICTVonline=201856567")</f>
        <v>ICTVonline=201856567</v>
      </c>
      <c r="AA4215" s="1">
        <v>201850000</v>
      </c>
      <c r="AB4215" s="1">
        <v>34</v>
      </c>
    </row>
    <row r="4216" spans="1:28" x14ac:dyDescent="0.15">
      <c r="A4216" s="1">
        <v>10652</v>
      </c>
      <c r="L4216" s="1" t="s">
        <v>760</v>
      </c>
      <c r="N4216" s="1" t="s">
        <v>761</v>
      </c>
      <c r="P4216" s="1" t="s">
        <v>7034</v>
      </c>
      <c r="Q4216" s="3">
        <v>0</v>
      </c>
      <c r="S4216" s="23" t="s">
        <v>5949</v>
      </c>
      <c r="T4216" s="23" t="s">
        <v>4929</v>
      </c>
      <c r="U4216" s="3">
        <v>34</v>
      </c>
      <c r="V4216" s="3" t="s">
        <v>7027</v>
      </c>
      <c r="W4216" s="45" t="str">
        <f>HYPERLINK("http://ictvonline.org/taxonomy/p/taxonomy-history?taxnode_id=201856568","ICTVonline=201856568")</f>
        <v>ICTVonline=201856568</v>
      </c>
      <c r="AA4216" s="1">
        <v>201850000</v>
      </c>
      <c r="AB4216" s="1">
        <v>34</v>
      </c>
    </row>
    <row r="4217" spans="1:28" x14ac:dyDescent="0.15">
      <c r="A4217" s="1">
        <v>10654</v>
      </c>
      <c r="L4217" s="1" t="s">
        <v>760</v>
      </c>
      <c r="N4217" s="1" t="s">
        <v>761</v>
      </c>
      <c r="P4217" s="1" t="s">
        <v>1957</v>
      </c>
      <c r="Q4217" s="3">
        <v>0</v>
      </c>
      <c r="S4217" s="23" t="s">
        <v>5949</v>
      </c>
      <c r="W4217" s="45" t="str">
        <f>HYPERLINK("http://ictvonline.org/taxonomy/p/taxonomy-history?taxnode_id=201852927","ICTVonline=201852927")</f>
        <v>ICTVonline=201852927</v>
      </c>
      <c r="AA4217" s="1">
        <v>201850000</v>
      </c>
      <c r="AB4217" s="1">
        <v>34</v>
      </c>
    </row>
    <row r="4218" spans="1:28" x14ac:dyDescent="0.15">
      <c r="A4218" s="1">
        <v>10656</v>
      </c>
      <c r="L4218" s="1" t="s">
        <v>760</v>
      </c>
      <c r="N4218" s="1" t="s">
        <v>761</v>
      </c>
      <c r="P4218" s="1" t="s">
        <v>1839</v>
      </c>
      <c r="Q4218" s="3">
        <v>0</v>
      </c>
      <c r="S4218" s="23" t="s">
        <v>5949</v>
      </c>
      <c r="W4218" s="45" t="str">
        <f>HYPERLINK("http://ictvonline.org/taxonomy/p/taxonomy-history?taxnode_id=201852928","ICTVonline=201852928")</f>
        <v>ICTVonline=201852928</v>
      </c>
      <c r="AA4218" s="1">
        <v>201850000</v>
      </c>
      <c r="AB4218" s="1">
        <v>34</v>
      </c>
    </row>
    <row r="4219" spans="1:28" x14ac:dyDescent="0.15">
      <c r="A4219" s="1">
        <v>10658</v>
      </c>
      <c r="L4219" s="1" t="s">
        <v>760</v>
      </c>
      <c r="N4219" s="1" t="s">
        <v>761</v>
      </c>
      <c r="P4219" s="1" t="s">
        <v>7035</v>
      </c>
      <c r="Q4219" s="3">
        <v>0</v>
      </c>
      <c r="S4219" s="23" t="s">
        <v>5949</v>
      </c>
      <c r="T4219" s="23" t="s">
        <v>4929</v>
      </c>
      <c r="U4219" s="3">
        <v>34</v>
      </c>
      <c r="V4219" s="3" t="s">
        <v>7027</v>
      </c>
      <c r="W4219" s="45" t="str">
        <f>HYPERLINK("http://ictvonline.org/taxonomy/p/taxonomy-history?taxnode_id=201856569","ICTVonline=201856569")</f>
        <v>ICTVonline=201856569</v>
      </c>
      <c r="AA4219" s="1">
        <v>201850000</v>
      </c>
      <c r="AB4219" s="1">
        <v>34</v>
      </c>
    </row>
    <row r="4220" spans="1:28" x14ac:dyDescent="0.15">
      <c r="A4220" s="1">
        <v>10660</v>
      </c>
      <c r="L4220" s="1" t="s">
        <v>760</v>
      </c>
      <c r="N4220" s="1" t="s">
        <v>761</v>
      </c>
      <c r="P4220" s="1" t="s">
        <v>7036</v>
      </c>
      <c r="Q4220" s="3">
        <v>0</v>
      </c>
      <c r="S4220" s="23" t="s">
        <v>5949</v>
      </c>
      <c r="T4220" s="23" t="s">
        <v>4929</v>
      </c>
      <c r="U4220" s="3">
        <v>34</v>
      </c>
      <c r="V4220" s="3" t="s">
        <v>7027</v>
      </c>
      <c r="W4220" s="45" t="str">
        <f>HYPERLINK("http://ictvonline.org/taxonomy/p/taxonomy-history?taxnode_id=201856570","ICTVonline=201856570")</f>
        <v>ICTVonline=201856570</v>
      </c>
      <c r="AA4220" s="1">
        <v>201850000</v>
      </c>
      <c r="AB4220" s="1">
        <v>34</v>
      </c>
    </row>
    <row r="4221" spans="1:28" x14ac:dyDescent="0.15">
      <c r="A4221" s="1">
        <v>10662</v>
      </c>
      <c r="L4221" s="1" t="s">
        <v>760</v>
      </c>
      <c r="N4221" s="1" t="s">
        <v>761</v>
      </c>
      <c r="P4221" s="1" t="s">
        <v>3760</v>
      </c>
      <c r="Q4221" s="3">
        <v>0</v>
      </c>
      <c r="S4221" s="23" t="s">
        <v>5949</v>
      </c>
      <c r="W4221" s="45" t="str">
        <f>HYPERLINK("http://ictvonline.org/taxonomy/p/taxonomy-history?taxnode_id=201852929","ICTVonline=201852929")</f>
        <v>ICTVonline=201852929</v>
      </c>
      <c r="AA4221" s="1">
        <v>201850000</v>
      </c>
      <c r="AB4221" s="1">
        <v>34</v>
      </c>
    </row>
    <row r="4222" spans="1:28" x14ac:dyDescent="0.15">
      <c r="A4222" s="1">
        <v>10666</v>
      </c>
      <c r="L4222" s="1" t="s">
        <v>760</v>
      </c>
      <c r="N4222" s="1" t="s">
        <v>3761</v>
      </c>
      <c r="P4222" s="1" t="s">
        <v>4962</v>
      </c>
      <c r="Q4222" s="3">
        <v>0</v>
      </c>
      <c r="S4222" s="23" t="s">
        <v>5949</v>
      </c>
      <c r="W4222" s="45" t="str">
        <f>HYPERLINK("http://ictvonline.org/taxonomy/p/taxonomy-history?taxnode_id=201852931","ICTVonline=201852931")</f>
        <v>ICTVonline=201852931</v>
      </c>
      <c r="AA4222" s="1">
        <v>201850000</v>
      </c>
      <c r="AB4222" s="1">
        <v>34</v>
      </c>
    </row>
    <row r="4223" spans="1:28" x14ac:dyDescent="0.15">
      <c r="A4223" s="1">
        <v>10668</v>
      </c>
      <c r="L4223" s="1" t="s">
        <v>760</v>
      </c>
      <c r="N4223" s="1" t="s">
        <v>3761</v>
      </c>
      <c r="P4223" s="1" t="s">
        <v>4963</v>
      </c>
      <c r="Q4223" s="3">
        <v>0</v>
      </c>
      <c r="S4223" s="23" t="s">
        <v>5949</v>
      </c>
      <c r="W4223" s="45" t="str">
        <f>HYPERLINK("http://ictvonline.org/taxonomy/p/taxonomy-history?taxnode_id=201852932","ICTVonline=201852932")</f>
        <v>ICTVonline=201852932</v>
      </c>
      <c r="AA4223" s="1">
        <v>201850000</v>
      </c>
      <c r="AB4223" s="1">
        <v>34</v>
      </c>
    </row>
    <row r="4224" spans="1:28" x14ac:dyDescent="0.15">
      <c r="A4224" s="1">
        <v>10670</v>
      </c>
      <c r="L4224" s="1" t="s">
        <v>760</v>
      </c>
      <c r="N4224" s="1" t="s">
        <v>3761</v>
      </c>
      <c r="P4224" s="1" t="s">
        <v>4964</v>
      </c>
      <c r="Q4224" s="3">
        <v>0</v>
      </c>
      <c r="S4224" s="23" t="s">
        <v>5949</v>
      </c>
      <c r="W4224" s="45" t="str">
        <f>HYPERLINK("http://ictvonline.org/taxonomy/p/taxonomy-history?taxnode_id=201852933","ICTVonline=201852933")</f>
        <v>ICTVonline=201852933</v>
      </c>
      <c r="AA4224" s="1">
        <v>201850000</v>
      </c>
      <c r="AB4224" s="1">
        <v>34</v>
      </c>
    </row>
    <row r="4225" spans="1:28" x14ac:dyDescent="0.15">
      <c r="A4225" s="1">
        <v>10672</v>
      </c>
      <c r="L4225" s="1" t="s">
        <v>760</v>
      </c>
      <c r="N4225" s="1" t="s">
        <v>3761</v>
      </c>
      <c r="P4225" s="1" t="s">
        <v>4965</v>
      </c>
      <c r="Q4225" s="3">
        <v>0</v>
      </c>
      <c r="S4225" s="23" t="s">
        <v>5949</v>
      </c>
      <c r="W4225" s="45" t="str">
        <f>HYPERLINK("http://ictvonline.org/taxonomy/p/taxonomy-history?taxnode_id=201852934","ICTVonline=201852934")</f>
        <v>ICTVonline=201852934</v>
      </c>
      <c r="AA4225" s="1">
        <v>201850000</v>
      </c>
      <c r="AB4225" s="1">
        <v>34</v>
      </c>
    </row>
    <row r="4226" spans="1:28" x14ac:dyDescent="0.15">
      <c r="A4226" s="1">
        <v>10674</v>
      </c>
      <c r="L4226" s="1" t="s">
        <v>760</v>
      </c>
      <c r="N4226" s="1" t="s">
        <v>3761</v>
      </c>
      <c r="P4226" s="1" t="s">
        <v>4966</v>
      </c>
      <c r="Q4226" s="3">
        <v>0</v>
      </c>
      <c r="S4226" s="23" t="s">
        <v>5949</v>
      </c>
      <c r="W4226" s="45" t="str">
        <f>HYPERLINK("http://ictvonline.org/taxonomy/p/taxonomy-history?taxnode_id=201852935","ICTVonline=201852935")</f>
        <v>ICTVonline=201852935</v>
      </c>
      <c r="AA4226" s="1">
        <v>201850000</v>
      </c>
      <c r="AB4226" s="1">
        <v>34</v>
      </c>
    </row>
    <row r="4227" spans="1:28" x14ac:dyDescent="0.15">
      <c r="A4227" s="1">
        <v>10676</v>
      </c>
      <c r="L4227" s="1" t="s">
        <v>760</v>
      </c>
      <c r="N4227" s="1" t="s">
        <v>3761</v>
      </c>
      <c r="P4227" s="1" t="s">
        <v>4651</v>
      </c>
      <c r="Q4227" s="3">
        <v>0</v>
      </c>
      <c r="S4227" s="23" t="s">
        <v>5949</v>
      </c>
      <c r="W4227" s="45" t="str">
        <f>HYPERLINK("http://ictvonline.org/taxonomy/p/taxonomy-history?taxnode_id=201852936","ICTVonline=201852936")</f>
        <v>ICTVonline=201852936</v>
      </c>
      <c r="AA4227" s="1">
        <v>201850000</v>
      </c>
      <c r="AB4227" s="1">
        <v>34</v>
      </c>
    </row>
    <row r="4228" spans="1:28" x14ac:dyDescent="0.15">
      <c r="A4228" s="1">
        <v>10678</v>
      </c>
      <c r="L4228" s="1" t="s">
        <v>760</v>
      </c>
      <c r="N4228" s="1" t="s">
        <v>3761</v>
      </c>
      <c r="P4228" s="1" t="s">
        <v>4652</v>
      </c>
      <c r="Q4228" s="3">
        <v>0</v>
      </c>
      <c r="S4228" s="23" t="s">
        <v>5949</v>
      </c>
      <c r="W4228" s="45" t="str">
        <f>HYPERLINK("http://ictvonline.org/taxonomy/p/taxonomy-history?taxnode_id=201852937","ICTVonline=201852937")</f>
        <v>ICTVonline=201852937</v>
      </c>
      <c r="AA4228" s="1">
        <v>201850000</v>
      </c>
      <c r="AB4228" s="1">
        <v>34</v>
      </c>
    </row>
    <row r="4229" spans="1:28" x14ac:dyDescent="0.15">
      <c r="A4229" s="1">
        <v>10680</v>
      </c>
      <c r="L4229" s="1" t="s">
        <v>760</v>
      </c>
      <c r="N4229" s="1" t="s">
        <v>3761</v>
      </c>
      <c r="P4229" s="1" t="s">
        <v>4653</v>
      </c>
      <c r="Q4229" s="3">
        <v>0</v>
      </c>
      <c r="S4229" s="23" t="s">
        <v>5949</v>
      </c>
      <c r="W4229" s="45" t="str">
        <f>HYPERLINK("http://ictvonline.org/taxonomy/p/taxonomy-history?taxnode_id=201852938","ICTVonline=201852938")</f>
        <v>ICTVonline=201852938</v>
      </c>
      <c r="AA4229" s="1">
        <v>201850000</v>
      </c>
      <c r="AB4229" s="1">
        <v>34</v>
      </c>
    </row>
    <row r="4230" spans="1:28" x14ac:dyDescent="0.15">
      <c r="A4230" s="1">
        <v>10682</v>
      </c>
      <c r="L4230" s="1" t="s">
        <v>760</v>
      </c>
      <c r="N4230" s="1" t="s">
        <v>3761</v>
      </c>
      <c r="P4230" s="1" t="s">
        <v>4654</v>
      </c>
      <c r="Q4230" s="3">
        <v>0</v>
      </c>
      <c r="S4230" s="23" t="s">
        <v>5949</v>
      </c>
      <c r="W4230" s="45" t="str">
        <f>HYPERLINK("http://ictvonline.org/taxonomy/p/taxonomy-history?taxnode_id=201852939","ICTVonline=201852939")</f>
        <v>ICTVonline=201852939</v>
      </c>
      <c r="AA4230" s="1">
        <v>201850000</v>
      </c>
      <c r="AB4230" s="1">
        <v>34</v>
      </c>
    </row>
    <row r="4231" spans="1:28" x14ac:dyDescent="0.15">
      <c r="A4231" s="1">
        <v>10684</v>
      </c>
      <c r="L4231" s="1" t="s">
        <v>760</v>
      </c>
      <c r="N4231" s="1" t="s">
        <v>3761</v>
      </c>
      <c r="P4231" s="1" t="s">
        <v>4655</v>
      </c>
      <c r="Q4231" s="3">
        <v>0</v>
      </c>
      <c r="S4231" s="23" t="s">
        <v>5949</v>
      </c>
      <c r="W4231" s="45" t="str">
        <f>HYPERLINK("http://ictvonline.org/taxonomy/p/taxonomy-history?taxnode_id=201852940","ICTVonline=201852940")</f>
        <v>ICTVonline=201852940</v>
      </c>
      <c r="AA4231" s="1">
        <v>201850000</v>
      </c>
      <c r="AB4231" s="1">
        <v>34</v>
      </c>
    </row>
    <row r="4232" spans="1:28" x14ac:dyDescent="0.15">
      <c r="A4232" s="1">
        <v>10686</v>
      </c>
      <c r="L4232" s="1" t="s">
        <v>760</v>
      </c>
      <c r="N4232" s="1" t="s">
        <v>3761</v>
      </c>
      <c r="P4232" s="1" t="s">
        <v>4656</v>
      </c>
      <c r="Q4232" s="3">
        <v>0</v>
      </c>
      <c r="S4232" s="23" t="s">
        <v>5949</v>
      </c>
      <c r="W4232" s="45" t="str">
        <f>HYPERLINK("http://ictvonline.org/taxonomy/p/taxonomy-history?taxnode_id=201852941","ICTVonline=201852941")</f>
        <v>ICTVonline=201852941</v>
      </c>
      <c r="AA4232" s="1">
        <v>201850000</v>
      </c>
      <c r="AB4232" s="1">
        <v>34</v>
      </c>
    </row>
    <row r="4233" spans="1:28" x14ac:dyDescent="0.15">
      <c r="A4233" s="1">
        <v>10688</v>
      </c>
      <c r="L4233" s="1" t="s">
        <v>760</v>
      </c>
      <c r="N4233" s="1" t="s">
        <v>3761</v>
      </c>
      <c r="P4233" s="1" t="s">
        <v>4657</v>
      </c>
      <c r="Q4233" s="3">
        <v>0</v>
      </c>
      <c r="S4233" s="23" t="s">
        <v>5949</v>
      </c>
      <c r="W4233" s="45" t="str">
        <f>HYPERLINK("http://ictvonline.org/taxonomy/p/taxonomy-history?taxnode_id=201852942","ICTVonline=201852942")</f>
        <v>ICTVonline=201852942</v>
      </c>
      <c r="AA4233" s="1">
        <v>201850000</v>
      </c>
      <c r="AB4233" s="1">
        <v>34</v>
      </c>
    </row>
    <row r="4234" spans="1:28" x14ac:dyDescent="0.15">
      <c r="A4234" s="1">
        <v>10690</v>
      </c>
      <c r="L4234" s="1" t="s">
        <v>760</v>
      </c>
      <c r="N4234" s="1" t="s">
        <v>3761</v>
      </c>
      <c r="P4234" s="1" t="s">
        <v>4658</v>
      </c>
      <c r="Q4234" s="3">
        <v>0</v>
      </c>
      <c r="S4234" s="23" t="s">
        <v>5949</v>
      </c>
      <c r="W4234" s="45" t="str">
        <f>HYPERLINK("http://ictvonline.org/taxonomy/p/taxonomy-history?taxnode_id=201852943","ICTVonline=201852943")</f>
        <v>ICTVonline=201852943</v>
      </c>
      <c r="AA4234" s="1">
        <v>201850000</v>
      </c>
      <c r="AB4234" s="1">
        <v>34</v>
      </c>
    </row>
    <row r="4235" spans="1:28" x14ac:dyDescent="0.15">
      <c r="A4235" s="1">
        <v>10692</v>
      </c>
      <c r="L4235" s="1" t="s">
        <v>760</v>
      </c>
      <c r="N4235" s="1" t="s">
        <v>3761</v>
      </c>
      <c r="P4235" s="1" t="s">
        <v>4659</v>
      </c>
      <c r="Q4235" s="3">
        <v>0</v>
      </c>
      <c r="S4235" s="23" t="s">
        <v>5949</v>
      </c>
      <c r="W4235" s="45" t="str">
        <f>HYPERLINK("http://ictvonline.org/taxonomy/p/taxonomy-history?taxnode_id=201852944","ICTVonline=201852944")</f>
        <v>ICTVonline=201852944</v>
      </c>
      <c r="AA4235" s="1">
        <v>201850000</v>
      </c>
      <c r="AB4235" s="1">
        <v>34</v>
      </c>
    </row>
    <row r="4236" spans="1:28" x14ac:dyDescent="0.15">
      <c r="A4236" s="1">
        <v>10694</v>
      </c>
      <c r="L4236" s="1" t="s">
        <v>760</v>
      </c>
      <c r="N4236" s="1" t="s">
        <v>3761</v>
      </c>
      <c r="P4236" s="1" t="s">
        <v>4660</v>
      </c>
      <c r="Q4236" s="3">
        <v>0</v>
      </c>
      <c r="S4236" s="23" t="s">
        <v>5949</v>
      </c>
      <c r="W4236" s="45" t="str">
        <f>HYPERLINK("http://ictvonline.org/taxonomy/p/taxonomy-history?taxnode_id=201852945","ICTVonline=201852945")</f>
        <v>ICTVonline=201852945</v>
      </c>
      <c r="AA4236" s="1">
        <v>201850000</v>
      </c>
      <c r="AB4236" s="1">
        <v>34</v>
      </c>
    </row>
    <row r="4237" spans="1:28" x14ac:dyDescent="0.15">
      <c r="A4237" s="1">
        <v>10696</v>
      </c>
      <c r="L4237" s="1" t="s">
        <v>760</v>
      </c>
      <c r="N4237" s="1" t="s">
        <v>3761</v>
      </c>
      <c r="P4237" s="1" t="s">
        <v>4661</v>
      </c>
      <c r="Q4237" s="3">
        <v>0</v>
      </c>
      <c r="S4237" s="23" t="s">
        <v>5949</v>
      </c>
      <c r="W4237" s="45" t="str">
        <f>HYPERLINK("http://ictvonline.org/taxonomy/p/taxonomy-history?taxnode_id=201852946","ICTVonline=201852946")</f>
        <v>ICTVonline=201852946</v>
      </c>
      <c r="AA4237" s="1">
        <v>201850000</v>
      </c>
      <c r="AB4237" s="1">
        <v>34</v>
      </c>
    </row>
    <row r="4238" spans="1:28" x14ac:dyDescent="0.15">
      <c r="A4238" s="1">
        <v>10698</v>
      </c>
      <c r="L4238" s="1" t="s">
        <v>760</v>
      </c>
      <c r="N4238" s="1" t="s">
        <v>3761</v>
      </c>
      <c r="P4238" s="1" t="s">
        <v>4967</v>
      </c>
      <c r="Q4238" s="3">
        <v>0</v>
      </c>
      <c r="S4238" s="23" t="s">
        <v>5949</v>
      </c>
      <c r="W4238" s="45" t="str">
        <f>HYPERLINK("http://ictvonline.org/taxonomy/p/taxonomy-history?taxnode_id=201852947","ICTVonline=201852947")</f>
        <v>ICTVonline=201852947</v>
      </c>
      <c r="AA4238" s="1">
        <v>201850000</v>
      </c>
      <c r="AB4238" s="1">
        <v>34</v>
      </c>
    </row>
    <row r="4239" spans="1:28" x14ac:dyDescent="0.15">
      <c r="A4239" s="1">
        <v>10700</v>
      </c>
      <c r="L4239" s="1" t="s">
        <v>760</v>
      </c>
      <c r="N4239" s="1" t="s">
        <v>3761</v>
      </c>
      <c r="P4239" s="1" t="s">
        <v>4968</v>
      </c>
      <c r="Q4239" s="3">
        <v>0</v>
      </c>
      <c r="S4239" s="23" t="s">
        <v>5949</v>
      </c>
      <c r="W4239" s="45" t="str">
        <f>HYPERLINK("http://ictvonline.org/taxonomy/p/taxonomy-history?taxnode_id=201852948","ICTVonline=201852948")</f>
        <v>ICTVonline=201852948</v>
      </c>
      <c r="AA4239" s="1">
        <v>201850000</v>
      </c>
      <c r="AB4239" s="1">
        <v>34</v>
      </c>
    </row>
    <row r="4240" spans="1:28" x14ac:dyDescent="0.15">
      <c r="A4240" s="1">
        <v>10702</v>
      </c>
      <c r="L4240" s="1" t="s">
        <v>760</v>
      </c>
      <c r="N4240" s="1" t="s">
        <v>3761</v>
      </c>
      <c r="P4240" s="1" t="s">
        <v>4969</v>
      </c>
      <c r="Q4240" s="3">
        <v>0</v>
      </c>
      <c r="S4240" s="23" t="s">
        <v>5949</v>
      </c>
      <c r="W4240" s="45" t="str">
        <f>HYPERLINK("http://ictvonline.org/taxonomy/p/taxonomy-history?taxnode_id=201852949","ICTVonline=201852949")</f>
        <v>ICTVonline=201852949</v>
      </c>
      <c r="AA4240" s="1">
        <v>201850000</v>
      </c>
      <c r="AB4240" s="1">
        <v>34</v>
      </c>
    </row>
    <row r="4241" spans="1:28" x14ac:dyDescent="0.15">
      <c r="A4241" s="1">
        <v>10704</v>
      </c>
      <c r="L4241" s="1" t="s">
        <v>760</v>
      </c>
      <c r="N4241" s="1" t="s">
        <v>3761</v>
      </c>
      <c r="P4241" s="1" t="s">
        <v>4970</v>
      </c>
      <c r="Q4241" s="3">
        <v>0</v>
      </c>
      <c r="S4241" s="23" t="s">
        <v>5949</v>
      </c>
      <c r="W4241" s="45" t="str">
        <f>HYPERLINK("http://ictvonline.org/taxonomy/p/taxonomy-history?taxnode_id=201852950","ICTVonline=201852950")</f>
        <v>ICTVonline=201852950</v>
      </c>
      <c r="AA4241" s="1">
        <v>201850000</v>
      </c>
      <c r="AB4241" s="1">
        <v>34</v>
      </c>
    </row>
    <row r="4242" spans="1:28" x14ac:dyDescent="0.15">
      <c r="A4242" s="1">
        <v>10706</v>
      </c>
      <c r="L4242" s="1" t="s">
        <v>760</v>
      </c>
      <c r="N4242" s="1" t="s">
        <v>3761</v>
      </c>
      <c r="P4242" s="1" t="s">
        <v>4971</v>
      </c>
      <c r="Q4242" s="3">
        <v>0</v>
      </c>
      <c r="S4242" s="23" t="s">
        <v>5949</v>
      </c>
      <c r="W4242" s="45" t="str">
        <f>HYPERLINK("http://ictvonline.org/taxonomy/p/taxonomy-history?taxnode_id=201852951","ICTVonline=201852951")</f>
        <v>ICTVonline=201852951</v>
      </c>
      <c r="AA4242" s="1">
        <v>201850000</v>
      </c>
      <c r="AB4242" s="1">
        <v>34</v>
      </c>
    </row>
    <row r="4243" spans="1:28" x14ac:dyDescent="0.15">
      <c r="A4243" s="1">
        <v>10708</v>
      </c>
      <c r="L4243" s="1" t="s">
        <v>760</v>
      </c>
      <c r="N4243" s="1" t="s">
        <v>3761</v>
      </c>
      <c r="P4243" s="1" t="s">
        <v>4972</v>
      </c>
      <c r="Q4243" s="3">
        <v>0</v>
      </c>
      <c r="S4243" s="23" t="s">
        <v>5949</v>
      </c>
      <c r="W4243" s="45" t="str">
        <f>HYPERLINK("http://ictvonline.org/taxonomy/p/taxonomy-history?taxnode_id=201852952","ICTVonline=201852952")</f>
        <v>ICTVonline=201852952</v>
      </c>
      <c r="AA4243" s="1">
        <v>201850000</v>
      </c>
      <c r="AB4243" s="1">
        <v>34</v>
      </c>
    </row>
    <row r="4244" spans="1:28" x14ac:dyDescent="0.15">
      <c r="A4244" s="1">
        <v>10710</v>
      </c>
      <c r="L4244" s="1" t="s">
        <v>760</v>
      </c>
      <c r="N4244" s="1" t="s">
        <v>3761</v>
      </c>
      <c r="P4244" s="1" t="s">
        <v>4973</v>
      </c>
      <c r="Q4244" s="3">
        <v>0</v>
      </c>
      <c r="S4244" s="23" t="s">
        <v>5949</v>
      </c>
      <c r="W4244" s="45" t="str">
        <f>HYPERLINK("http://ictvonline.org/taxonomy/p/taxonomy-history?taxnode_id=201852953","ICTVonline=201852953")</f>
        <v>ICTVonline=201852953</v>
      </c>
      <c r="AA4244" s="1">
        <v>201850000</v>
      </c>
      <c r="AB4244" s="1">
        <v>34</v>
      </c>
    </row>
    <row r="4245" spans="1:28" x14ac:dyDescent="0.15">
      <c r="A4245" s="1">
        <v>10712</v>
      </c>
      <c r="L4245" s="1" t="s">
        <v>760</v>
      </c>
      <c r="N4245" s="1" t="s">
        <v>3761</v>
      </c>
      <c r="P4245" s="1" t="s">
        <v>4974</v>
      </c>
      <c r="Q4245" s="3">
        <v>0</v>
      </c>
      <c r="S4245" s="23" t="s">
        <v>5949</v>
      </c>
      <c r="W4245" s="45" t="str">
        <f>HYPERLINK("http://ictvonline.org/taxonomy/p/taxonomy-history?taxnode_id=201852954","ICTVonline=201852954")</f>
        <v>ICTVonline=201852954</v>
      </c>
      <c r="AA4245" s="1">
        <v>201850000</v>
      </c>
      <c r="AB4245" s="1">
        <v>34</v>
      </c>
    </row>
    <row r="4246" spans="1:28" x14ac:dyDescent="0.15">
      <c r="A4246" s="1">
        <v>10714</v>
      </c>
      <c r="L4246" s="1" t="s">
        <v>760</v>
      </c>
      <c r="N4246" s="1" t="s">
        <v>3761</v>
      </c>
      <c r="P4246" s="1" t="s">
        <v>4975</v>
      </c>
      <c r="Q4246" s="3">
        <v>0</v>
      </c>
      <c r="S4246" s="23" t="s">
        <v>5949</v>
      </c>
      <c r="W4246" s="45" t="str">
        <f>HYPERLINK("http://ictvonline.org/taxonomy/p/taxonomy-history?taxnode_id=201852955","ICTVonline=201852955")</f>
        <v>ICTVonline=201852955</v>
      </c>
      <c r="AA4246" s="1">
        <v>201850000</v>
      </c>
      <c r="AB4246" s="1">
        <v>34</v>
      </c>
    </row>
    <row r="4247" spans="1:28" x14ac:dyDescent="0.15">
      <c r="A4247" s="1">
        <v>10716</v>
      </c>
      <c r="L4247" s="1" t="s">
        <v>760</v>
      </c>
      <c r="N4247" s="1" t="s">
        <v>3761</v>
      </c>
      <c r="P4247" s="1" t="s">
        <v>4976</v>
      </c>
      <c r="Q4247" s="3">
        <v>0</v>
      </c>
      <c r="S4247" s="23" t="s">
        <v>5949</v>
      </c>
      <c r="W4247" s="45" t="str">
        <f>HYPERLINK("http://ictvonline.org/taxonomy/p/taxonomy-history?taxnode_id=201852956","ICTVonline=201852956")</f>
        <v>ICTVonline=201852956</v>
      </c>
      <c r="AA4247" s="1">
        <v>201850000</v>
      </c>
      <c r="AB4247" s="1">
        <v>34</v>
      </c>
    </row>
    <row r="4248" spans="1:28" x14ac:dyDescent="0.15">
      <c r="A4248" s="1">
        <v>10718</v>
      </c>
      <c r="L4248" s="1" t="s">
        <v>760</v>
      </c>
      <c r="N4248" s="1" t="s">
        <v>3761</v>
      </c>
      <c r="P4248" s="1" t="s">
        <v>4977</v>
      </c>
      <c r="Q4248" s="3">
        <v>0</v>
      </c>
      <c r="S4248" s="23" t="s">
        <v>5949</v>
      </c>
      <c r="W4248" s="45" t="str">
        <f>HYPERLINK("http://ictvonline.org/taxonomy/p/taxonomy-history?taxnode_id=201852957","ICTVonline=201852957")</f>
        <v>ICTVonline=201852957</v>
      </c>
      <c r="AA4248" s="1">
        <v>201850000</v>
      </c>
      <c r="AB4248" s="1">
        <v>34</v>
      </c>
    </row>
    <row r="4249" spans="1:28" x14ac:dyDescent="0.15">
      <c r="A4249" s="1">
        <v>10720</v>
      </c>
      <c r="L4249" s="1" t="s">
        <v>760</v>
      </c>
      <c r="N4249" s="1" t="s">
        <v>3761</v>
      </c>
      <c r="P4249" s="1" t="s">
        <v>4978</v>
      </c>
      <c r="Q4249" s="3">
        <v>0</v>
      </c>
      <c r="S4249" s="23" t="s">
        <v>5949</v>
      </c>
      <c r="W4249" s="45" t="str">
        <f>HYPERLINK("http://ictvonline.org/taxonomy/p/taxonomy-history?taxnode_id=201852958","ICTVonline=201852958")</f>
        <v>ICTVonline=201852958</v>
      </c>
      <c r="AA4249" s="1">
        <v>201850000</v>
      </c>
      <c r="AB4249" s="1">
        <v>34</v>
      </c>
    </row>
    <row r="4250" spans="1:28" x14ac:dyDescent="0.15">
      <c r="A4250" s="1">
        <v>10722</v>
      </c>
      <c r="L4250" s="1" t="s">
        <v>760</v>
      </c>
      <c r="N4250" s="1" t="s">
        <v>3761</v>
      </c>
      <c r="P4250" s="1" t="s">
        <v>7037</v>
      </c>
      <c r="Q4250" s="3">
        <v>0</v>
      </c>
      <c r="S4250" s="23" t="s">
        <v>5949</v>
      </c>
      <c r="T4250" s="23" t="s">
        <v>4929</v>
      </c>
      <c r="U4250" s="3">
        <v>34</v>
      </c>
      <c r="V4250" s="3" t="s">
        <v>7038</v>
      </c>
      <c r="W4250" s="45" t="str">
        <f>HYPERLINK("http://ictvonline.org/taxonomy/p/taxonomy-history?taxnode_id=201856318","ICTVonline=201856318")</f>
        <v>ICTVonline=201856318</v>
      </c>
      <c r="AA4250" s="1">
        <v>201850000</v>
      </c>
      <c r="AB4250" s="1">
        <v>34</v>
      </c>
    </row>
    <row r="4251" spans="1:28" x14ac:dyDescent="0.15">
      <c r="A4251" s="1">
        <v>10724</v>
      </c>
      <c r="L4251" s="1" t="s">
        <v>760</v>
      </c>
      <c r="N4251" s="1" t="s">
        <v>3761</v>
      </c>
      <c r="P4251" s="1" t="s">
        <v>4662</v>
      </c>
      <c r="Q4251" s="3">
        <v>0</v>
      </c>
      <c r="S4251" s="23" t="s">
        <v>5949</v>
      </c>
      <c r="W4251" s="45" t="str">
        <f>HYPERLINK("http://ictvonline.org/taxonomy/p/taxonomy-history?taxnode_id=201852959","ICTVonline=201852959")</f>
        <v>ICTVonline=201852959</v>
      </c>
      <c r="AA4251" s="1">
        <v>201850000</v>
      </c>
      <c r="AB4251" s="1">
        <v>34</v>
      </c>
    </row>
    <row r="4252" spans="1:28" x14ac:dyDescent="0.15">
      <c r="A4252" s="1">
        <v>10726</v>
      </c>
      <c r="L4252" s="1" t="s">
        <v>760</v>
      </c>
      <c r="N4252" s="1" t="s">
        <v>3761</v>
      </c>
      <c r="P4252" s="1" t="s">
        <v>4979</v>
      </c>
      <c r="Q4252" s="3">
        <v>0</v>
      </c>
      <c r="S4252" s="23" t="s">
        <v>5949</v>
      </c>
      <c r="W4252" s="45" t="str">
        <f>HYPERLINK("http://ictvonline.org/taxonomy/p/taxonomy-history?taxnode_id=201852960","ICTVonline=201852960")</f>
        <v>ICTVonline=201852960</v>
      </c>
      <c r="AA4252" s="1">
        <v>201850000</v>
      </c>
      <c r="AB4252" s="1">
        <v>34</v>
      </c>
    </row>
    <row r="4253" spans="1:28" x14ac:dyDescent="0.15">
      <c r="A4253" s="1">
        <v>10728</v>
      </c>
      <c r="L4253" s="1" t="s">
        <v>760</v>
      </c>
      <c r="N4253" s="1" t="s">
        <v>3761</v>
      </c>
      <c r="P4253" s="1" t="s">
        <v>4663</v>
      </c>
      <c r="Q4253" s="3">
        <v>0</v>
      </c>
      <c r="S4253" s="23" t="s">
        <v>5949</v>
      </c>
      <c r="W4253" s="45" t="str">
        <f>HYPERLINK("http://ictvonline.org/taxonomy/p/taxonomy-history?taxnode_id=201852961","ICTVonline=201852961")</f>
        <v>ICTVonline=201852961</v>
      </c>
      <c r="AA4253" s="1">
        <v>201850000</v>
      </c>
      <c r="AB4253" s="1">
        <v>34</v>
      </c>
    </row>
    <row r="4254" spans="1:28" x14ac:dyDescent="0.15">
      <c r="A4254" s="1">
        <v>10730</v>
      </c>
      <c r="L4254" s="1" t="s">
        <v>760</v>
      </c>
      <c r="N4254" s="1" t="s">
        <v>3761</v>
      </c>
      <c r="P4254" s="1" t="s">
        <v>4980</v>
      </c>
      <c r="Q4254" s="3">
        <v>0</v>
      </c>
      <c r="S4254" s="23" t="s">
        <v>5949</v>
      </c>
      <c r="W4254" s="45" t="str">
        <f>HYPERLINK("http://ictvonline.org/taxonomy/p/taxonomy-history?taxnode_id=201852962","ICTVonline=201852962")</f>
        <v>ICTVonline=201852962</v>
      </c>
      <c r="AA4254" s="1">
        <v>201850000</v>
      </c>
      <c r="AB4254" s="1">
        <v>34</v>
      </c>
    </row>
    <row r="4255" spans="1:28" x14ac:dyDescent="0.15">
      <c r="A4255" s="1">
        <v>10732</v>
      </c>
      <c r="L4255" s="1" t="s">
        <v>760</v>
      </c>
      <c r="N4255" s="1" t="s">
        <v>3761</v>
      </c>
      <c r="P4255" s="1" t="s">
        <v>4981</v>
      </c>
      <c r="Q4255" s="3">
        <v>0</v>
      </c>
      <c r="S4255" s="23" t="s">
        <v>5949</v>
      </c>
      <c r="W4255" s="45" t="str">
        <f>HYPERLINK("http://ictvonline.org/taxonomy/p/taxonomy-history?taxnode_id=201852963","ICTVonline=201852963")</f>
        <v>ICTVonline=201852963</v>
      </c>
      <c r="AA4255" s="1">
        <v>201850000</v>
      </c>
      <c r="AB4255" s="1">
        <v>34</v>
      </c>
    </row>
    <row r="4256" spans="1:28" x14ac:dyDescent="0.15">
      <c r="A4256" s="1">
        <v>10734</v>
      </c>
      <c r="L4256" s="1" t="s">
        <v>760</v>
      </c>
      <c r="N4256" s="1" t="s">
        <v>3761</v>
      </c>
      <c r="P4256" s="1" t="s">
        <v>4982</v>
      </c>
      <c r="Q4256" s="3">
        <v>0</v>
      </c>
      <c r="S4256" s="23" t="s">
        <v>5949</v>
      </c>
      <c r="W4256" s="45" t="str">
        <f>HYPERLINK("http://ictvonline.org/taxonomy/p/taxonomy-history?taxnode_id=201852964","ICTVonline=201852964")</f>
        <v>ICTVonline=201852964</v>
      </c>
      <c r="AA4256" s="1">
        <v>201850000</v>
      </c>
      <c r="AB4256" s="1">
        <v>34</v>
      </c>
    </row>
    <row r="4257" spans="1:28" x14ac:dyDescent="0.15">
      <c r="A4257" s="1">
        <v>10736</v>
      </c>
      <c r="L4257" s="1" t="s">
        <v>760</v>
      </c>
      <c r="N4257" s="1" t="s">
        <v>3761</v>
      </c>
      <c r="P4257" s="1" t="s">
        <v>4983</v>
      </c>
      <c r="Q4257" s="3">
        <v>0</v>
      </c>
      <c r="S4257" s="23" t="s">
        <v>5949</v>
      </c>
      <c r="W4257" s="45" t="str">
        <f>HYPERLINK("http://ictvonline.org/taxonomy/p/taxonomy-history?taxnode_id=201852965","ICTVonline=201852965")</f>
        <v>ICTVonline=201852965</v>
      </c>
      <c r="AA4257" s="1">
        <v>201850000</v>
      </c>
      <c r="AB4257" s="1">
        <v>34</v>
      </c>
    </row>
    <row r="4258" spans="1:28" x14ac:dyDescent="0.15">
      <c r="A4258" s="1">
        <v>10738</v>
      </c>
      <c r="L4258" s="1" t="s">
        <v>760</v>
      </c>
      <c r="N4258" s="1" t="s">
        <v>3761</v>
      </c>
      <c r="P4258" s="1" t="s">
        <v>4984</v>
      </c>
      <c r="Q4258" s="3">
        <v>0</v>
      </c>
      <c r="S4258" s="23" t="s">
        <v>5949</v>
      </c>
      <c r="W4258" s="45" t="str">
        <f>HYPERLINK("http://ictvonline.org/taxonomy/p/taxonomy-history?taxnode_id=201852966","ICTVonline=201852966")</f>
        <v>ICTVonline=201852966</v>
      </c>
      <c r="AA4258" s="1">
        <v>201850000</v>
      </c>
      <c r="AB4258" s="1">
        <v>34</v>
      </c>
    </row>
    <row r="4259" spans="1:28" x14ac:dyDescent="0.15">
      <c r="A4259" s="1">
        <v>10740</v>
      </c>
      <c r="L4259" s="1" t="s">
        <v>760</v>
      </c>
      <c r="N4259" s="1" t="s">
        <v>3761</v>
      </c>
      <c r="P4259" s="1" t="s">
        <v>4985</v>
      </c>
      <c r="Q4259" s="3">
        <v>0</v>
      </c>
      <c r="S4259" s="23" t="s">
        <v>5949</v>
      </c>
      <c r="W4259" s="45" t="str">
        <f>HYPERLINK("http://ictvonline.org/taxonomy/p/taxonomy-history?taxnode_id=201852967","ICTVonline=201852967")</f>
        <v>ICTVonline=201852967</v>
      </c>
      <c r="AA4259" s="1">
        <v>201850000</v>
      </c>
      <c r="AB4259" s="1">
        <v>34</v>
      </c>
    </row>
    <row r="4260" spans="1:28" x14ac:dyDescent="0.15">
      <c r="A4260" s="1">
        <v>10742</v>
      </c>
      <c r="L4260" s="1" t="s">
        <v>760</v>
      </c>
      <c r="N4260" s="1" t="s">
        <v>3761</v>
      </c>
      <c r="P4260" s="1" t="s">
        <v>4986</v>
      </c>
      <c r="Q4260" s="3">
        <v>0</v>
      </c>
      <c r="S4260" s="23" t="s">
        <v>5949</v>
      </c>
      <c r="W4260" s="45" t="str">
        <f>HYPERLINK("http://ictvonline.org/taxonomy/p/taxonomy-history?taxnode_id=201852968","ICTVonline=201852968")</f>
        <v>ICTVonline=201852968</v>
      </c>
      <c r="AA4260" s="1">
        <v>201850000</v>
      </c>
      <c r="AB4260" s="1">
        <v>34</v>
      </c>
    </row>
    <row r="4261" spans="1:28" x14ac:dyDescent="0.15">
      <c r="A4261" s="1">
        <v>10744</v>
      </c>
      <c r="L4261" s="1" t="s">
        <v>760</v>
      </c>
      <c r="N4261" s="1" t="s">
        <v>3761</v>
      </c>
      <c r="P4261" s="1" t="s">
        <v>4987</v>
      </c>
      <c r="Q4261" s="3">
        <v>1</v>
      </c>
      <c r="S4261" s="23" t="s">
        <v>5949</v>
      </c>
      <c r="W4261" s="45" t="str">
        <f>HYPERLINK("http://ictvonline.org/taxonomy/p/taxonomy-history?taxnode_id=201852969","ICTVonline=201852969")</f>
        <v>ICTVonline=201852969</v>
      </c>
      <c r="AA4261" s="1">
        <v>201850000</v>
      </c>
      <c r="AB4261" s="1">
        <v>34</v>
      </c>
    </row>
    <row r="4262" spans="1:28" x14ac:dyDescent="0.15">
      <c r="A4262" s="1">
        <v>10746</v>
      </c>
      <c r="L4262" s="1" t="s">
        <v>760</v>
      </c>
      <c r="N4262" s="1" t="s">
        <v>3761</v>
      </c>
      <c r="P4262" s="1" t="s">
        <v>4988</v>
      </c>
      <c r="Q4262" s="3">
        <v>0</v>
      </c>
      <c r="S4262" s="23" t="s">
        <v>5949</v>
      </c>
      <c r="W4262" s="45" t="str">
        <f>HYPERLINK("http://ictvonline.org/taxonomy/p/taxonomy-history?taxnode_id=201852970","ICTVonline=201852970")</f>
        <v>ICTVonline=201852970</v>
      </c>
      <c r="AA4262" s="1">
        <v>201850000</v>
      </c>
      <c r="AB4262" s="1">
        <v>34</v>
      </c>
    </row>
    <row r="4263" spans="1:28" x14ac:dyDescent="0.15">
      <c r="A4263" s="1">
        <v>10748</v>
      </c>
      <c r="L4263" s="1" t="s">
        <v>760</v>
      </c>
      <c r="N4263" s="1" t="s">
        <v>3761</v>
      </c>
      <c r="P4263" s="1" t="s">
        <v>4989</v>
      </c>
      <c r="Q4263" s="3">
        <v>0</v>
      </c>
      <c r="S4263" s="23" t="s">
        <v>5949</v>
      </c>
      <c r="W4263" s="45" t="str">
        <f>HYPERLINK("http://ictvonline.org/taxonomy/p/taxonomy-history?taxnode_id=201852971","ICTVonline=201852971")</f>
        <v>ICTVonline=201852971</v>
      </c>
      <c r="AA4263" s="1">
        <v>201850000</v>
      </c>
      <c r="AB4263" s="1">
        <v>34</v>
      </c>
    </row>
    <row r="4264" spans="1:28" x14ac:dyDescent="0.15">
      <c r="A4264" s="1">
        <v>10750</v>
      </c>
      <c r="L4264" s="1" t="s">
        <v>760</v>
      </c>
      <c r="N4264" s="1" t="s">
        <v>3761</v>
      </c>
      <c r="P4264" s="1" t="s">
        <v>4664</v>
      </c>
      <c r="Q4264" s="3">
        <v>0</v>
      </c>
      <c r="S4264" s="23" t="s">
        <v>5949</v>
      </c>
      <c r="W4264" s="45" t="str">
        <f>HYPERLINK("http://ictvonline.org/taxonomy/p/taxonomy-history?taxnode_id=201852972","ICTVonline=201852972")</f>
        <v>ICTVonline=201852972</v>
      </c>
      <c r="AA4264" s="1">
        <v>201850000</v>
      </c>
      <c r="AB4264" s="1">
        <v>34</v>
      </c>
    </row>
    <row r="4265" spans="1:28" x14ac:dyDescent="0.15">
      <c r="A4265" s="1">
        <v>10752</v>
      </c>
      <c r="L4265" s="1" t="s">
        <v>760</v>
      </c>
      <c r="N4265" s="1" t="s">
        <v>3761</v>
      </c>
      <c r="P4265" s="1" t="s">
        <v>5348</v>
      </c>
      <c r="Q4265" s="3">
        <v>0</v>
      </c>
      <c r="S4265" s="23" t="s">
        <v>5949</v>
      </c>
      <c r="W4265" s="45" t="str">
        <f>HYPERLINK("http://ictvonline.org/taxonomy/p/taxonomy-history?taxnode_id=201855769","ICTVonline=201855769")</f>
        <v>ICTVonline=201855769</v>
      </c>
      <c r="AA4265" s="1">
        <v>201850000</v>
      </c>
      <c r="AB4265" s="1">
        <v>34</v>
      </c>
    </row>
    <row r="4266" spans="1:28" x14ac:dyDescent="0.15">
      <c r="A4266" s="1">
        <v>10754</v>
      </c>
      <c r="L4266" s="1" t="s">
        <v>760</v>
      </c>
      <c r="N4266" s="1" t="s">
        <v>3761</v>
      </c>
      <c r="P4266" s="1" t="s">
        <v>5349</v>
      </c>
      <c r="Q4266" s="3">
        <v>0</v>
      </c>
      <c r="S4266" s="23" t="s">
        <v>5949</v>
      </c>
      <c r="W4266" s="45" t="str">
        <f>HYPERLINK("http://ictvonline.org/taxonomy/p/taxonomy-history?taxnode_id=201855770","ICTVonline=201855770")</f>
        <v>ICTVonline=201855770</v>
      </c>
      <c r="AA4266" s="1">
        <v>201850000</v>
      </c>
      <c r="AB4266" s="1">
        <v>34</v>
      </c>
    </row>
    <row r="4267" spans="1:28" x14ac:dyDescent="0.15">
      <c r="A4267" s="1">
        <v>10756</v>
      </c>
      <c r="L4267" s="1" t="s">
        <v>760</v>
      </c>
      <c r="N4267" s="1" t="s">
        <v>3761</v>
      </c>
      <c r="P4267" s="1" t="s">
        <v>7039</v>
      </c>
      <c r="Q4267" s="3">
        <v>0</v>
      </c>
      <c r="S4267" s="23" t="s">
        <v>5949</v>
      </c>
      <c r="T4267" s="23" t="s">
        <v>4929</v>
      </c>
      <c r="U4267" s="3">
        <v>34</v>
      </c>
      <c r="V4267" s="3" t="s">
        <v>7027</v>
      </c>
      <c r="W4267" s="45" t="str">
        <f>HYPERLINK("http://ictvonline.org/taxonomy/p/taxonomy-history?taxnode_id=201856571","ICTVonline=201856571")</f>
        <v>ICTVonline=201856571</v>
      </c>
      <c r="AA4267" s="1">
        <v>201850000</v>
      </c>
      <c r="AB4267" s="1">
        <v>34</v>
      </c>
    </row>
    <row r="4268" spans="1:28" x14ac:dyDescent="0.15">
      <c r="A4268" s="1">
        <v>10758</v>
      </c>
      <c r="L4268" s="1" t="s">
        <v>760</v>
      </c>
      <c r="N4268" s="1" t="s">
        <v>3761</v>
      </c>
      <c r="P4268" s="1" t="s">
        <v>7040</v>
      </c>
      <c r="Q4268" s="3">
        <v>0</v>
      </c>
      <c r="S4268" s="23" t="s">
        <v>5949</v>
      </c>
      <c r="T4268" s="23" t="s">
        <v>4929</v>
      </c>
      <c r="U4268" s="3">
        <v>34</v>
      </c>
      <c r="V4268" s="3" t="s">
        <v>7027</v>
      </c>
      <c r="W4268" s="45" t="str">
        <f>HYPERLINK("http://ictvonline.org/taxonomy/p/taxonomy-history?taxnode_id=201856572","ICTVonline=201856572")</f>
        <v>ICTVonline=201856572</v>
      </c>
      <c r="AA4268" s="1">
        <v>201850000</v>
      </c>
      <c r="AB4268" s="1">
        <v>34</v>
      </c>
    </row>
    <row r="4269" spans="1:28" x14ac:dyDescent="0.15">
      <c r="A4269" s="1">
        <v>10760</v>
      </c>
      <c r="L4269" s="1" t="s">
        <v>760</v>
      </c>
      <c r="N4269" s="1" t="s">
        <v>3761</v>
      </c>
      <c r="P4269" s="1" t="s">
        <v>4665</v>
      </c>
      <c r="Q4269" s="3">
        <v>0</v>
      </c>
      <c r="S4269" s="23" t="s">
        <v>5949</v>
      </c>
      <c r="W4269" s="45" t="str">
        <f>HYPERLINK("http://ictvonline.org/taxonomy/p/taxonomy-history?taxnode_id=201852973","ICTVonline=201852973")</f>
        <v>ICTVonline=201852973</v>
      </c>
      <c r="AA4269" s="1">
        <v>201850000</v>
      </c>
      <c r="AB4269" s="1">
        <v>34</v>
      </c>
    </row>
    <row r="4270" spans="1:28" x14ac:dyDescent="0.15">
      <c r="A4270" s="1">
        <v>10766</v>
      </c>
      <c r="L4270" s="1" t="s">
        <v>89</v>
      </c>
      <c r="N4270" s="1" t="s">
        <v>90</v>
      </c>
      <c r="P4270" s="1" t="s">
        <v>91</v>
      </c>
      <c r="Q4270" s="3">
        <v>1</v>
      </c>
      <c r="S4270" s="23" t="s">
        <v>5949</v>
      </c>
      <c r="W4270" s="45" t="str">
        <f>HYPERLINK("http://ictvonline.org/taxonomy/p/taxonomy-history?taxnode_id=201852977","ICTVonline=201852977")</f>
        <v>ICTVonline=201852977</v>
      </c>
      <c r="AA4270" s="1">
        <v>201850000</v>
      </c>
      <c r="AB4270" s="1">
        <v>34</v>
      </c>
    </row>
    <row r="4271" spans="1:28" x14ac:dyDescent="0.15">
      <c r="A4271" s="1">
        <v>10772</v>
      </c>
      <c r="L4271" s="1" t="s">
        <v>2074</v>
      </c>
      <c r="N4271" s="1" t="s">
        <v>2075</v>
      </c>
      <c r="P4271" s="1" t="s">
        <v>7044</v>
      </c>
      <c r="Q4271" s="3">
        <v>0</v>
      </c>
      <c r="S4271" s="23" t="s">
        <v>5949</v>
      </c>
      <c r="T4271" s="23" t="s">
        <v>4929</v>
      </c>
      <c r="U4271" s="3">
        <v>34</v>
      </c>
      <c r="V4271" s="3" t="s">
        <v>7045</v>
      </c>
      <c r="W4271" s="45" t="str">
        <f>HYPERLINK("http://ictvonline.org/taxonomy/p/taxonomy-history?taxnode_id=201856992","ICTVonline=201856992")</f>
        <v>ICTVonline=201856992</v>
      </c>
      <c r="AA4271" s="1">
        <v>201850000</v>
      </c>
      <c r="AB4271" s="1">
        <v>34</v>
      </c>
    </row>
    <row r="4272" spans="1:28" x14ac:dyDescent="0.15">
      <c r="A4272" s="1">
        <v>10774</v>
      </c>
      <c r="L4272" s="1" t="s">
        <v>2074</v>
      </c>
      <c r="N4272" s="1" t="s">
        <v>2075</v>
      </c>
      <c r="P4272" s="1" t="s">
        <v>3767</v>
      </c>
      <c r="Q4272" s="3">
        <v>1</v>
      </c>
      <c r="S4272" s="23" t="s">
        <v>5949</v>
      </c>
      <c r="W4272" s="45" t="str">
        <f>HYPERLINK("http://ictvonline.org/taxonomy/p/taxonomy-history?taxnode_id=201853037","ICTVonline=201853037")</f>
        <v>ICTVonline=201853037</v>
      </c>
      <c r="AA4272" s="1">
        <v>201850000</v>
      </c>
      <c r="AB4272" s="1">
        <v>34</v>
      </c>
    </row>
    <row r="4273" spans="1:28" x14ac:dyDescent="0.15">
      <c r="A4273" s="1">
        <v>10780</v>
      </c>
      <c r="L4273" s="1" t="s">
        <v>2089</v>
      </c>
      <c r="N4273" s="1" t="s">
        <v>2232</v>
      </c>
      <c r="P4273" s="1" t="s">
        <v>2090</v>
      </c>
      <c r="Q4273" s="3">
        <v>1</v>
      </c>
      <c r="S4273" s="23" t="s">
        <v>5949</v>
      </c>
      <c r="W4273" s="45" t="str">
        <f>HYPERLINK("http://ictvonline.org/taxonomy/p/taxonomy-history?taxnode_id=201853159","ICTVonline=201853159")</f>
        <v>ICTVonline=201853159</v>
      </c>
      <c r="AA4273" s="1">
        <v>201850000</v>
      </c>
      <c r="AB4273" s="1">
        <v>34</v>
      </c>
    </row>
    <row r="4274" spans="1:28" x14ac:dyDescent="0.15">
      <c r="A4274" s="1">
        <v>10782</v>
      </c>
      <c r="L4274" s="1" t="s">
        <v>2089</v>
      </c>
      <c r="N4274" s="1" t="s">
        <v>2232</v>
      </c>
      <c r="P4274" s="1" t="s">
        <v>2233</v>
      </c>
      <c r="Q4274" s="3">
        <v>0</v>
      </c>
      <c r="S4274" s="23" t="s">
        <v>5949</v>
      </c>
      <c r="W4274" s="45" t="str">
        <f>HYPERLINK("http://ictvonline.org/taxonomy/p/taxonomy-history?taxnode_id=201853160","ICTVonline=201853160")</f>
        <v>ICTVonline=201853160</v>
      </c>
      <c r="AA4274" s="1">
        <v>201850000</v>
      </c>
      <c r="AB4274" s="1">
        <v>34</v>
      </c>
    </row>
    <row r="4275" spans="1:28" x14ac:dyDescent="0.15">
      <c r="A4275" s="1">
        <v>10784</v>
      </c>
      <c r="L4275" s="1" t="s">
        <v>2089</v>
      </c>
      <c r="N4275" s="1" t="s">
        <v>2232</v>
      </c>
      <c r="P4275" s="1" t="s">
        <v>2234</v>
      </c>
      <c r="Q4275" s="3">
        <v>0</v>
      </c>
      <c r="S4275" s="23" t="s">
        <v>5949</v>
      </c>
      <c r="W4275" s="45" t="str">
        <f>HYPERLINK("http://ictvonline.org/taxonomy/p/taxonomy-history?taxnode_id=201853161","ICTVonline=201853161")</f>
        <v>ICTVonline=201853161</v>
      </c>
      <c r="AA4275" s="1">
        <v>201850000</v>
      </c>
      <c r="AB4275" s="1">
        <v>34</v>
      </c>
    </row>
    <row r="4276" spans="1:28" x14ac:dyDescent="0.15">
      <c r="A4276" s="1">
        <v>10786</v>
      </c>
      <c r="L4276" s="1" t="s">
        <v>2089</v>
      </c>
      <c r="N4276" s="1" t="s">
        <v>2232</v>
      </c>
      <c r="P4276" s="1" t="s">
        <v>2235</v>
      </c>
      <c r="Q4276" s="3">
        <v>0</v>
      </c>
      <c r="S4276" s="23" t="s">
        <v>5949</v>
      </c>
      <c r="W4276" s="45" t="str">
        <f>HYPERLINK("http://ictvonline.org/taxonomy/p/taxonomy-history?taxnode_id=201853162","ICTVonline=201853162")</f>
        <v>ICTVonline=201853162</v>
      </c>
      <c r="AA4276" s="1">
        <v>201850000</v>
      </c>
      <c r="AB4276" s="1">
        <v>34</v>
      </c>
    </row>
    <row r="4277" spans="1:28" x14ac:dyDescent="0.15">
      <c r="A4277" s="1">
        <v>10788</v>
      </c>
      <c r="L4277" s="1" t="s">
        <v>2089</v>
      </c>
      <c r="N4277" s="1" t="s">
        <v>2232</v>
      </c>
      <c r="P4277" s="1" t="s">
        <v>2236</v>
      </c>
      <c r="Q4277" s="3">
        <v>0</v>
      </c>
      <c r="S4277" s="23" t="s">
        <v>5949</v>
      </c>
      <c r="W4277" s="45" t="str">
        <f>HYPERLINK("http://ictvonline.org/taxonomy/p/taxonomy-history?taxnode_id=201853163","ICTVonline=201853163")</f>
        <v>ICTVonline=201853163</v>
      </c>
      <c r="AA4277" s="1">
        <v>201850000</v>
      </c>
      <c r="AB4277" s="1">
        <v>34</v>
      </c>
    </row>
    <row r="4278" spans="1:28" x14ac:dyDescent="0.15">
      <c r="A4278" s="1">
        <v>10790</v>
      </c>
      <c r="L4278" s="1" t="s">
        <v>2089</v>
      </c>
      <c r="N4278" s="1" t="s">
        <v>2232</v>
      </c>
      <c r="P4278" s="1" t="s">
        <v>2237</v>
      </c>
      <c r="Q4278" s="3">
        <v>0</v>
      </c>
      <c r="S4278" s="23" t="s">
        <v>5949</v>
      </c>
      <c r="W4278" s="45" t="str">
        <f>HYPERLINK("http://ictvonline.org/taxonomy/p/taxonomy-history?taxnode_id=201853164","ICTVonline=201853164")</f>
        <v>ICTVonline=201853164</v>
      </c>
      <c r="AA4278" s="1">
        <v>201850000</v>
      </c>
      <c r="AB4278" s="1">
        <v>34</v>
      </c>
    </row>
    <row r="4279" spans="1:28" x14ac:dyDescent="0.15">
      <c r="A4279" s="1">
        <v>10792</v>
      </c>
      <c r="L4279" s="1" t="s">
        <v>2089</v>
      </c>
      <c r="N4279" s="1" t="s">
        <v>2232</v>
      </c>
      <c r="P4279" s="1" t="s">
        <v>2238</v>
      </c>
      <c r="Q4279" s="3">
        <v>0</v>
      </c>
      <c r="S4279" s="23" t="s">
        <v>5949</v>
      </c>
      <c r="W4279" s="45" t="str">
        <f>HYPERLINK("http://ictvonline.org/taxonomy/p/taxonomy-history?taxnode_id=201853165","ICTVonline=201853165")</f>
        <v>ICTVonline=201853165</v>
      </c>
      <c r="AA4279" s="1">
        <v>201850000</v>
      </c>
      <c r="AB4279" s="1">
        <v>34</v>
      </c>
    </row>
    <row r="4280" spans="1:28" x14ac:dyDescent="0.15">
      <c r="A4280" s="1">
        <v>10796</v>
      </c>
      <c r="L4280" s="1" t="s">
        <v>2089</v>
      </c>
      <c r="N4280" s="1" t="s">
        <v>2239</v>
      </c>
      <c r="P4280" s="1" t="s">
        <v>2240</v>
      </c>
      <c r="Q4280" s="3">
        <v>0</v>
      </c>
      <c r="S4280" s="23" t="s">
        <v>5949</v>
      </c>
      <c r="W4280" s="45" t="str">
        <f>HYPERLINK("http://ictvonline.org/taxonomy/p/taxonomy-history?taxnode_id=201853167","ICTVonline=201853167")</f>
        <v>ICTVonline=201853167</v>
      </c>
      <c r="AA4280" s="1">
        <v>201850000</v>
      </c>
      <c r="AB4280" s="1">
        <v>34</v>
      </c>
    </row>
    <row r="4281" spans="1:28" x14ac:dyDescent="0.15">
      <c r="A4281" s="1">
        <v>10798</v>
      </c>
      <c r="L4281" s="1" t="s">
        <v>2089</v>
      </c>
      <c r="N4281" s="1" t="s">
        <v>2239</v>
      </c>
      <c r="P4281" s="1" t="s">
        <v>2241</v>
      </c>
      <c r="Q4281" s="3">
        <v>1</v>
      </c>
      <c r="S4281" s="23" t="s">
        <v>5949</v>
      </c>
      <c r="W4281" s="45" t="str">
        <f>HYPERLINK("http://ictvonline.org/taxonomy/p/taxonomy-history?taxnode_id=201853168","ICTVonline=201853168")</f>
        <v>ICTVonline=201853168</v>
      </c>
      <c r="AA4281" s="1">
        <v>201850000</v>
      </c>
      <c r="AB4281" s="1">
        <v>34</v>
      </c>
    </row>
    <row r="4282" spans="1:28" x14ac:dyDescent="0.15">
      <c r="A4282" s="1">
        <v>10804</v>
      </c>
      <c r="L4282" s="1" t="s">
        <v>2091</v>
      </c>
      <c r="N4282" s="1" t="s">
        <v>2242</v>
      </c>
      <c r="P4282" s="1" t="s">
        <v>2148</v>
      </c>
      <c r="Q4282" s="3">
        <v>1</v>
      </c>
      <c r="S4282" s="23" t="s">
        <v>5949</v>
      </c>
      <c r="W4282" s="45" t="str">
        <f>HYPERLINK("http://ictvonline.org/taxonomy/p/taxonomy-history?taxnode_id=201853172","ICTVonline=201853172")</f>
        <v>ICTVonline=201853172</v>
      </c>
      <c r="AA4282" s="1">
        <v>201850000</v>
      </c>
      <c r="AB4282" s="1">
        <v>34</v>
      </c>
    </row>
    <row r="4283" spans="1:28" x14ac:dyDescent="0.15">
      <c r="A4283" s="1">
        <v>10806</v>
      </c>
      <c r="L4283" s="1" t="s">
        <v>2091</v>
      </c>
      <c r="N4283" s="1" t="s">
        <v>2242</v>
      </c>
      <c r="P4283" s="1" t="s">
        <v>7046</v>
      </c>
      <c r="Q4283" s="3">
        <v>0</v>
      </c>
      <c r="S4283" s="23" t="s">
        <v>5949</v>
      </c>
      <c r="T4283" s="23" t="s">
        <v>4929</v>
      </c>
      <c r="U4283" s="3">
        <v>34</v>
      </c>
      <c r="V4283" s="3" t="s">
        <v>7047</v>
      </c>
      <c r="W4283" s="45" t="str">
        <f>HYPERLINK("http://ictvonline.org/taxonomy/p/taxonomy-history?taxnode_id=201856688","ICTVonline=201856688")</f>
        <v>ICTVonline=201856688</v>
      </c>
      <c r="AA4283" s="1">
        <v>201850000</v>
      </c>
      <c r="AB4283" s="1">
        <v>34</v>
      </c>
    </row>
    <row r="4284" spans="1:28" x14ac:dyDescent="0.15">
      <c r="A4284" s="1">
        <v>10808</v>
      </c>
      <c r="L4284" s="1" t="s">
        <v>2091</v>
      </c>
      <c r="N4284" s="1" t="s">
        <v>2242</v>
      </c>
      <c r="P4284" s="1" t="s">
        <v>2243</v>
      </c>
      <c r="Q4284" s="3">
        <v>0</v>
      </c>
      <c r="S4284" s="23" t="s">
        <v>5949</v>
      </c>
      <c r="W4284" s="45" t="str">
        <f>HYPERLINK("http://ictvonline.org/taxonomy/p/taxonomy-history?taxnode_id=201853173","ICTVonline=201853173")</f>
        <v>ICTVonline=201853173</v>
      </c>
      <c r="AA4284" s="1">
        <v>201850000</v>
      </c>
      <c r="AB4284" s="1">
        <v>34</v>
      </c>
    </row>
    <row r="4285" spans="1:28" x14ac:dyDescent="0.15">
      <c r="A4285" s="1">
        <v>10812</v>
      </c>
      <c r="L4285" s="1" t="s">
        <v>2091</v>
      </c>
      <c r="N4285" s="1" t="s">
        <v>2092</v>
      </c>
      <c r="P4285" s="1" t="s">
        <v>3769</v>
      </c>
      <c r="Q4285" s="3">
        <v>0</v>
      </c>
      <c r="S4285" s="23" t="s">
        <v>5949</v>
      </c>
      <c r="W4285" s="45" t="str">
        <f>HYPERLINK("http://ictvonline.org/taxonomy/p/taxonomy-history?taxnode_id=201853175","ICTVonline=201853175")</f>
        <v>ICTVonline=201853175</v>
      </c>
      <c r="AA4285" s="1">
        <v>201850000</v>
      </c>
      <c r="AB4285" s="1">
        <v>34</v>
      </c>
    </row>
    <row r="4286" spans="1:28" x14ac:dyDescent="0.15">
      <c r="A4286" s="1">
        <v>10814</v>
      </c>
      <c r="L4286" s="1" t="s">
        <v>2091</v>
      </c>
      <c r="N4286" s="1" t="s">
        <v>2092</v>
      </c>
      <c r="P4286" s="1" t="s">
        <v>2383</v>
      </c>
      <c r="Q4286" s="3">
        <v>0</v>
      </c>
      <c r="S4286" s="23" t="s">
        <v>5949</v>
      </c>
      <c r="W4286" s="45" t="str">
        <f>HYPERLINK("http://ictvonline.org/taxonomy/p/taxonomy-history?taxnode_id=201853176","ICTVonline=201853176")</f>
        <v>ICTVonline=201853176</v>
      </c>
      <c r="AA4286" s="1">
        <v>201850000</v>
      </c>
      <c r="AB4286" s="1">
        <v>34</v>
      </c>
    </row>
    <row r="4287" spans="1:28" x14ac:dyDescent="0.15">
      <c r="A4287" s="1">
        <v>10816</v>
      </c>
      <c r="L4287" s="1" t="s">
        <v>2091</v>
      </c>
      <c r="N4287" s="1" t="s">
        <v>2092</v>
      </c>
      <c r="P4287" s="1" t="s">
        <v>2384</v>
      </c>
      <c r="Q4287" s="3">
        <v>0</v>
      </c>
      <c r="S4287" s="23" t="s">
        <v>5949</v>
      </c>
      <c r="W4287" s="45" t="str">
        <f>HYPERLINK("http://ictvonline.org/taxonomy/p/taxonomy-history?taxnode_id=201853177","ICTVonline=201853177")</f>
        <v>ICTVonline=201853177</v>
      </c>
      <c r="AA4287" s="1">
        <v>201850000</v>
      </c>
      <c r="AB4287" s="1">
        <v>34</v>
      </c>
    </row>
    <row r="4288" spans="1:28" x14ac:dyDescent="0.15">
      <c r="A4288" s="1">
        <v>10818</v>
      </c>
      <c r="L4288" s="1" t="s">
        <v>2091</v>
      </c>
      <c r="N4288" s="1" t="s">
        <v>2092</v>
      </c>
      <c r="P4288" s="1" t="s">
        <v>2093</v>
      </c>
      <c r="Q4288" s="3">
        <v>0</v>
      </c>
      <c r="S4288" s="23" t="s">
        <v>5949</v>
      </c>
      <c r="W4288" s="45" t="str">
        <f>HYPERLINK("http://ictvonline.org/taxonomy/p/taxonomy-history?taxnode_id=201853178","ICTVonline=201853178")</f>
        <v>ICTVonline=201853178</v>
      </c>
      <c r="AA4288" s="1">
        <v>201850000</v>
      </c>
      <c r="AB4288" s="1">
        <v>34</v>
      </c>
    </row>
    <row r="4289" spans="1:28" x14ac:dyDescent="0.15">
      <c r="A4289" s="1">
        <v>10820</v>
      </c>
      <c r="L4289" s="1" t="s">
        <v>2091</v>
      </c>
      <c r="N4289" s="1" t="s">
        <v>2092</v>
      </c>
      <c r="P4289" s="1" t="s">
        <v>7048</v>
      </c>
      <c r="Q4289" s="3">
        <v>0</v>
      </c>
      <c r="S4289" s="23" t="s">
        <v>5949</v>
      </c>
      <c r="T4289" s="23" t="s">
        <v>4929</v>
      </c>
      <c r="U4289" s="3">
        <v>34</v>
      </c>
      <c r="V4289" s="3" t="s">
        <v>7049</v>
      </c>
      <c r="W4289" s="45" t="str">
        <f>HYPERLINK("http://ictvonline.org/taxonomy/p/taxonomy-history?taxnode_id=201856693","ICTVonline=201856693")</f>
        <v>ICTVonline=201856693</v>
      </c>
      <c r="AA4289" s="1">
        <v>201850000</v>
      </c>
      <c r="AB4289" s="1">
        <v>34</v>
      </c>
    </row>
    <row r="4290" spans="1:28" x14ac:dyDescent="0.15">
      <c r="A4290" s="1">
        <v>10822</v>
      </c>
      <c r="L4290" s="1" t="s">
        <v>2091</v>
      </c>
      <c r="N4290" s="1" t="s">
        <v>2092</v>
      </c>
      <c r="P4290" s="1" t="s">
        <v>1983</v>
      </c>
      <c r="Q4290" s="3">
        <v>0</v>
      </c>
      <c r="S4290" s="23" t="s">
        <v>5949</v>
      </c>
      <c r="W4290" s="45" t="str">
        <f>HYPERLINK("http://ictvonline.org/taxonomy/p/taxonomy-history?taxnode_id=201853179","ICTVonline=201853179")</f>
        <v>ICTVonline=201853179</v>
      </c>
      <c r="AA4290" s="1">
        <v>201850000</v>
      </c>
      <c r="AB4290" s="1">
        <v>34</v>
      </c>
    </row>
    <row r="4291" spans="1:28" x14ac:dyDescent="0.15">
      <c r="A4291" s="1">
        <v>10824</v>
      </c>
      <c r="L4291" s="1" t="s">
        <v>2091</v>
      </c>
      <c r="N4291" s="1" t="s">
        <v>2092</v>
      </c>
      <c r="P4291" s="1" t="s">
        <v>1984</v>
      </c>
      <c r="Q4291" s="3">
        <v>0</v>
      </c>
      <c r="S4291" s="23" t="s">
        <v>5949</v>
      </c>
      <c r="W4291" s="45" t="str">
        <f>HYPERLINK("http://ictvonline.org/taxonomy/p/taxonomy-history?taxnode_id=201853180","ICTVonline=201853180")</f>
        <v>ICTVonline=201853180</v>
      </c>
      <c r="AA4291" s="1">
        <v>201850000</v>
      </c>
      <c r="AB4291" s="1">
        <v>34</v>
      </c>
    </row>
    <row r="4292" spans="1:28" x14ac:dyDescent="0.15">
      <c r="A4292" s="1">
        <v>10826</v>
      </c>
      <c r="L4292" s="1" t="s">
        <v>2091</v>
      </c>
      <c r="N4292" s="1" t="s">
        <v>2092</v>
      </c>
      <c r="P4292" s="1" t="s">
        <v>1985</v>
      </c>
      <c r="Q4292" s="3">
        <v>0</v>
      </c>
      <c r="S4292" s="23" t="s">
        <v>5949</v>
      </c>
      <c r="W4292" s="45" t="str">
        <f>HYPERLINK("http://ictvonline.org/taxonomy/p/taxonomy-history?taxnode_id=201853181","ICTVonline=201853181")</f>
        <v>ICTVonline=201853181</v>
      </c>
      <c r="AA4292" s="1">
        <v>201850000</v>
      </c>
      <c r="AB4292" s="1">
        <v>34</v>
      </c>
    </row>
    <row r="4293" spans="1:28" x14ac:dyDescent="0.15">
      <c r="A4293" s="1">
        <v>10828</v>
      </c>
      <c r="L4293" s="1" t="s">
        <v>2091</v>
      </c>
      <c r="N4293" s="1" t="s">
        <v>2092</v>
      </c>
      <c r="P4293" s="1" t="s">
        <v>1986</v>
      </c>
      <c r="Q4293" s="3">
        <v>0</v>
      </c>
      <c r="S4293" s="23" t="s">
        <v>5949</v>
      </c>
      <c r="W4293" s="45" t="str">
        <f>HYPERLINK("http://ictvonline.org/taxonomy/p/taxonomy-history?taxnode_id=201853182","ICTVonline=201853182")</f>
        <v>ICTVonline=201853182</v>
      </c>
      <c r="AA4293" s="1">
        <v>201850000</v>
      </c>
      <c r="AB4293" s="1">
        <v>34</v>
      </c>
    </row>
    <row r="4294" spans="1:28" x14ac:dyDescent="0.15">
      <c r="A4294" s="1">
        <v>10830</v>
      </c>
      <c r="L4294" s="1" t="s">
        <v>2091</v>
      </c>
      <c r="N4294" s="1" t="s">
        <v>2092</v>
      </c>
      <c r="P4294" s="1" t="s">
        <v>1987</v>
      </c>
      <c r="Q4294" s="3">
        <v>0</v>
      </c>
      <c r="S4294" s="23" t="s">
        <v>5949</v>
      </c>
      <c r="W4294" s="45" t="str">
        <f>HYPERLINK("http://ictvonline.org/taxonomy/p/taxonomy-history?taxnode_id=201853183","ICTVonline=201853183")</f>
        <v>ICTVonline=201853183</v>
      </c>
      <c r="AA4294" s="1">
        <v>201850000</v>
      </c>
      <c r="AB4294" s="1">
        <v>34</v>
      </c>
    </row>
    <row r="4295" spans="1:28" x14ac:dyDescent="0.15">
      <c r="A4295" s="1">
        <v>10832</v>
      </c>
      <c r="L4295" s="1" t="s">
        <v>2091</v>
      </c>
      <c r="N4295" s="1" t="s">
        <v>2092</v>
      </c>
      <c r="P4295" s="1" t="s">
        <v>1988</v>
      </c>
      <c r="Q4295" s="3">
        <v>0</v>
      </c>
      <c r="S4295" s="23" t="s">
        <v>5949</v>
      </c>
      <c r="W4295" s="45" t="str">
        <f>HYPERLINK("http://ictvonline.org/taxonomy/p/taxonomy-history?taxnode_id=201853184","ICTVonline=201853184")</f>
        <v>ICTVonline=201853184</v>
      </c>
      <c r="AA4295" s="1">
        <v>201850000</v>
      </c>
      <c r="AB4295" s="1">
        <v>34</v>
      </c>
    </row>
    <row r="4296" spans="1:28" x14ac:dyDescent="0.15">
      <c r="A4296" s="1">
        <v>10834</v>
      </c>
      <c r="L4296" s="1" t="s">
        <v>2091</v>
      </c>
      <c r="N4296" s="1" t="s">
        <v>2092</v>
      </c>
      <c r="P4296" s="1" t="s">
        <v>2385</v>
      </c>
      <c r="Q4296" s="3">
        <v>0</v>
      </c>
      <c r="S4296" s="23" t="s">
        <v>5949</v>
      </c>
      <c r="W4296" s="45" t="str">
        <f>HYPERLINK("http://ictvonline.org/taxonomy/p/taxonomy-history?taxnode_id=201853185","ICTVonline=201853185")</f>
        <v>ICTVonline=201853185</v>
      </c>
      <c r="AA4296" s="1">
        <v>201850000</v>
      </c>
      <c r="AB4296" s="1">
        <v>34</v>
      </c>
    </row>
    <row r="4297" spans="1:28" x14ac:dyDescent="0.15">
      <c r="A4297" s="1">
        <v>10836</v>
      </c>
      <c r="L4297" s="1" t="s">
        <v>2091</v>
      </c>
      <c r="N4297" s="1" t="s">
        <v>2092</v>
      </c>
      <c r="P4297" s="1" t="s">
        <v>5371</v>
      </c>
      <c r="Q4297" s="3">
        <v>0</v>
      </c>
      <c r="S4297" s="23" t="s">
        <v>5949</v>
      </c>
      <c r="W4297" s="45" t="str">
        <f>HYPERLINK("http://ictvonline.org/taxonomy/p/taxonomy-history?taxnode_id=201855787","ICTVonline=201855787")</f>
        <v>ICTVonline=201855787</v>
      </c>
      <c r="AA4297" s="1">
        <v>201850000</v>
      </c>
      <c r="AB4297" s="1">
        <v>34</v>
      </c>
    </row>
    <row r="4298" spans="1:28" x14ac:dyDescent="0.15">
      <c r="A4298" s="1">
        <v>10838</v>
      </c>
      <c r="L4298" s="1" t="s">
        <v>2091</v>
      </c>
      <c r="N4298" s="1" t="s">
        <v>2092</v>
      </c>
      <c r="P4298" s="1" t="s">
        <v>1989</v>
      </c>
      <c r="Q4298" s="3">
        <v>0</v>
      </c>
      <c r="S4298" s="23" t="s">
        <v>5949</v>
      </c>
      <c r="W4298" s="45" t="str">
        <f>HYPERLINK("http://ictvonline.org/taxonomy/p/taxonomy-history?taxnode_id=201853186","ICTVonline=201853186")</f>
        <v>ICTVonline=201853186</v>
      </c>
      <c r="AA4298" s="1">
        <v>201850000</v>
      </c>
      <c r="AB4298" s="1">
        <v>34</v>
      </c>
    </row>
    <row r="4299" spans="1:28" x14ac:dyDescent="0.15">
      <c r="A4299" s="1">
        <v>10840</v>
      </c>
      <c r="L4299" s="1" t="s">
        <v>2091</v>
      </c>
      <c r="N4299" s="1" t="s">
        <v>2092</v>
      </c>
      <c r="P4299" s="1" t="s">
        <v>5372</v>
      </c>
      <c r="Q4299" s="3">
        <v>0</v>
      </c>
      <c r="S4299" s="23" t="s">
        <v>5949</v>
      </c>
      <c r="W4299" s="45" t="str">
        <f>HYPERLINK("http://ictvonline.org/taxonomy/p/taxonomy-history?taxnode_id=201855788","ICTVonline=201855788")</f>
        <v>ICTVonline=201855788</v>
      </c>
      <c r="AA4299" s="1">
        <v>201850000</v>
      </c>
      <c r="AB4299" s="1">
        <v>34</v>
      </c>
    </row>
    <row r="4300" spans="1:28" x14ac:dyDescent="0.15">
      <c r="A4300" s="1">
        <v>10842</v>
      </c>
      <c r="L4300" s="1" t="s">
        <v>2091</v>
      </c>
      <c r="N4300" s="1" t="s">
        <v>2092</v>
      </c>
      <c r="P4300" s="1" t="s">
        <v>5373</v>
      </c>
      <c r="Q4300" s="3">
        <v>0</v>
      </c>
      <c r="S4300" s="23" t="s">
        <v>5949</v>
      </c>
      <c r="W4300" s="45" t="str">
        <f>HYPERLINK("http://ictvonline.org/taxonomy/p/taxonomy-history?taxnode_id=201855789","ICTVonline=201855789")</f>
        <v>ICTVonline=201855789</v>
      </c>
      <c r="AA4300" s="1">
        <v>201850000</v>
      </c>
      <c r="AB4300" s="1">
        <v>34</v>
      </c>
    </row>
    <row r="4301" spans="1:28" x14ac:dyDescent="0.15">
      <c r="A4301" s="1">
        <v>10844</v>
      </c>
      <c r="L4301" s="1" t="s">
        <v>2091</v>
      </c>
      <c r="N4301" s="1" t="s">
        <v>2092</v>
      </c>
      <c r="P4301" s="1" t="s">
        <v>1990</v>
      </c>
      <c r="Q4301" s="3">
        <v>0</v>
      </c>
      <c r="S4301" s="23" t="s">
        <v>5949</v>
      </c>
      <c r="W4301" s="45" t="str">
        <f>HYPERLINK("http://ictvonline.org/taxonomy/p/taxonomy-history?taxnode_id=201853187","ICTVonline=201853187")</f>
        <v>ICTVonline=201853187</v>
      </c>
      <c r="AA4301" s="1">
        <v>201850000</v>
      </c>
      <c r="AB4301" s="1">
        <v>34</v>
      </c>
    </row>
    <row r="4302" spans="1:28" x14ac:dyDescent="0.15">
      <c r="A4302" s="1">
        <v>10846</v>
      </c>
      <c r="L4302" s="1" t="s">
        <v>2091</v>
      </c>
      <c r="N4302" s="1" t="s">
        <v>2092</v>
      </c>
      <c r="P4302" s="1" t="s">
        <v>2386</v>
      </c>
      <c r="Q4302" s="3">
        <v>0</v>
      </c>
      <c r="S4302" s="23" t="s">
        <v>5949</v>
      </c>
      <c r="W4302" s="45" t="str">
        <f>HYPERLINK("http://ictvonline.org/taxonomy/p/taxonomy-history?taxnode_id=201853188","ICTVonline=201853188")</f>
        <v>ICTVonline=201853188</v>
      </c>
      <c r="AA4302" s="1">
        <v>201850000</v>
      </c>
      <c r="AB4302" s="1">
        <v>34</v>
      </c>
    </row>
    <row r="4303" spans="1:28" x14ac:dyDescent="0.15">
      <c r="A4303" s="1">
        <v>10848</v>
      </c>
      <c r="L4303" s="1" t="s">
        <v>2091</v>
      </c>
      <c r="N4303" s="1" t="s">
        <v>2092</v>
      </c>
      <c r="P4303" s="1" t="s">
        <v>1991</v>
      </c>
      <c r="Q4303" s="3">
        <v>0</v>
      </c>
      <c r="S4303" s="23" t="s">
        <v>5949</v>
      </c>
      <c r="W4303" s="45" t="str">
        <f>HYPERLINK("http://ictvonline.org/taxonomy/p/taxonomy-history?taxnode_id=201853189","ICTVonline=201853189")</f>
        <v>ICTVonline=201853189</v>
      </c>
      <c r="AA4303" s="1">
        <v>201850000</v>
      </c>
      <c r="AB4303" s="1">
        <v>34</v>
      </c>
    </row>
    <row r="4304" spans="1:28" x14ac:dyDescent="0.15">
      <c r="A4304" s="1">
        <v>10850</v>
      </c>
      <c r="L4304" s="1" t="s">
        <v>2091</v>
      </c>
      <c r="N4304" s="1" t="s">
        <v>2092</v>
      </c>
      <c r="P4304" s="1" t="s">
        <v>275</v>
      </c>
      <c r="Q4304" s="3">
        <v>0</v>
      </c>
      <c r="S4304" s="23" t="s">
        <v>5949</v>
      </c>
      <c r="W4304" s="45" t="str">
        <f>HYPERLINK("http://ictvonline.org/taxonomy/p/taxonomy-history?taxnode_id=201853190","ICTVonline=201853190")</f>
        <v>ICTVonline=201853190</v>
      </c>
      <c r="AA4304" s="1">
        <v>201850000</v>
      </c>
      <c r="AB4304" s="1">
        <v>34</v>
      </c>
    </row>
    <row r="4305" spans="1:28" x14ac:dyDescent="0.15">
      <c r="A4305" s="1">
        <v>10852</v>
      </c>
      <c r="L4305" s="1" t="s">
        <v>2091</v>
      </c>
      <c r="N4305" s="1" t="s">
        <v>2092</v>
      </c>
      <c r="P4305" s="1" t="s">
        <v>276</v>
      </c>
      <c r="Q4305" s="3">
        <v>1</v>
      </c>
      <c r="S4305" s="23" t="s">
        <v>5949</v>
      </c>
      <c r="W4305" s="45" t="str">
        <f>HYPERLINK("http://ictvonline.org/taxonomy/p/taxonomy-history?taxnode_id=201853191","ICTVonline=201853191")</f>
        <v>ICTVonline=201853191</v>
      </c>
      <c r="AA4305" s="1">
        <v>201850000</v>
      </c>
      <c r="AB4305" s="1">
        <v>34</v>
      </c>
    </row>
    <row r="4306" spans="1:28" x14ac:dyDescent="0.15">
      <c r="A4306" s="1">
        <v>10854</v>
      </c>
      <c r="L4306" s="1" t="s">
        <v>2091</v>
      </c>
      <c r="N4306" s="1" t="s">
        <v>2092</v>
      </c>
      <c r="P4306" s="1" t="s">
        <v>7050</v>
      </c>
      <c r="Q4306" s="3">
        <v>0</v>
      </c>
      <c r="S4306" s="23" t="s">
        <v>5949</v>
      </c>
      <c r="T4306" s="23" t="s">
        <v>4929</v>
      </c>
      <c r="U4306" s="3">
        <v>34</v>
      </c>
      <c r="V4306" s="3" t="s">
        <v>7049</v>
      </c>
      <c r="W4306" s="45" t="str">
        <f>HYPERLINK("http://ictvonline.org/taxonomy/p/taxonomy-history?taxnode_id=201856694","ICTVonline=201856694")</f>
        <v>ICTVonline=201856694</v>
      </c>
      <c r="AA4306" s="1">
        <v>201850000</v>
      </c>
      <c r="AB4306" s="1">
        <v>34</v>
      </c>
    </row>
    <row r="4307" spans="1:28" x14ac:dyDescent="0.15">
      <c r="A4307" s="1">
        <v>10856</v>
      </c>
      <c r="L4307" s="1" t="s">
        <v>2091</v>
      </c>
      <c r="N4307" s="1" t="s">
        <v>2092</v>
      </c>
      <c r="P4307" s="1" t="s">
        <v>5374</v>
      </c>
      <c r="Q4307" s="3">
        <v>0</v>
      </c>
      <c r="S4307" s="23" t="s">
        <v>5949</v>
      </c>
      <c r="W4307" s="45" t="str">
        <f>HYPERLINK("http://ictvonline.org/taxonomy/p/taxonomy-history?taxnode_id=201855790","ICTVonline=201855790")</f>
        <v>ICTVonline=201855790</v>
      </c>
      <c r="AA4307" s="1">
        <v>201850000</v>
      </c>
      <c r="AB4307" s="1">
        <v>34</v>
      </c>
    </row>
    <row r="4308" spans="1:28" x14ac:dyDescent="0.15">
      <c r="A4308" s="1">
        <v>10858</v>
      </c>
      <c r="L4308" s="1" t="s">
        <v>2091</v>
      </c>
      <c r="N4308" s="1" t="s">
        <v>2092</v>
      </c>
      <c r="P4308" s="1" t="s">
        <v>2387</v>
      </c>
      <c r="Q4308" s="3">
        <v>0</v>
      </c>
      <c r="S4308" s="23" t="s">
        <v>5949</v>
      </c>
      <c r="W4308" s="45" t="str">
        <f>HYPERLINK("http://ictvonline.org/taxonomy/p/taxonomy-history?taxnode_id=201853192","ICTVonline=201853192")</f>
        <v>ICTVonline=201853192</v>
      </c>
      <c r="AA4308" s="1">
        <v>201850000</v>
      </c>
      <c r="AB4308" s="1">
        <v>34</v>
      </c>
    </row>
    <row r="4309" spans="1:28" x14ac:dyDescent="0.15">
      <c r="A4309" s="1">
        <v>10860</v>
      </c>
      <c r="L4309" s="1" t="s">
        <v>2091</v>
      </c>
      <c r="N4309" s="1" t="s">
        <v>2092</v>
      </c>
      <c r="P4309" s="1" t="s">
        <v>2388</v>
      </c>
      <c r="Q4309" s="3">
        <v>0</v>
      </c>
      <c r="S4309" s="23" t="s">
        <v>5949</v>
      </c>
      <c r="W4309" s="45" t="str">
        <f>HYPERLINK("http://ictvonline.org/taxonomy/p/taxonomy-history?taxnode_id=201853193","ICTVonline=201853193")</f>
        <v>ICTVonline=201853193</v>
      </c>
      <c r="AA4309" s="1">
        <v>201850000</v>
      </c>
      <c r="AB4309" s="1">
        <v>34</v>
      </c>
    </row>
    <row r="4310" spans="1:28" x14ac:dyDescent="0.15">
      <c r="A4310" s="1">
        <v>10862</v>
      </c>
      <c r="L4310" s="1" t="s">
        <v>2091</v>
      </c>
      <c r="N4310" s="1" t="s">
        <v>2092</v>
      </c>
      <c r="P4310" s="1" t="s">
        <v>2389</v>
      </c>
      <c r="Q4310" s="3">
        <v>0</v>
      </c>
      <c r="S4310" s="23" t="s">
        <v>5949</v>
      </c>
      <c r="W4310" s="45" t="str">
        <f>HYPERLINK("http://ictvonline.org/taxonomy/p/taxonomy-history?taxnode_id=201853194","ICTVonline=201853194")</f>
        <v>ICTVonline=201853194</v>
      </c>
      <c r="AA4310" s="1">
        <v>201850000</v>
      </c>
      <c r="AB4310" s="1">
        <v>34</v>
      </c>
    </row>
    <row r="4311" spans="1:28" x14ac:dyDescent="0.15">
      <c r="A4311" s="1">
        <v>10864</v>
      </c>
      <c r="L4311" s="1" t="s">
        <v>2091</v>
      </c>
      <c r="N4311" s="1" t="s">
        <v>2092</v>
      </c>
      <c r="P4311" s="1" t="s">
        <v>7051</v>
      </c>
      <c r="Q4311" s="3">
        <v>0</v>
      </c>
      <c r="S4311" s="23" t="s">
        <v>5949</v>
      </c>
      <c r="T4311" s="23" t="s">
        <v>4929</v>
      </c>
      <c r="U4311" s="3">
        <v>34</v>
      </c>
      <c r="V4311" s="3" t="s">
        <v>7049</v>
      </c>
      <c r="W4311" s="45" t="str">
        <f>HYPERLINK("http://ictvonline.org/taxonomy/p/taxonomy-history?taxnode_id=201856703","ICTVonline=201856703")</f>
        <v>ICTVonline=201856703</v>
      </c>
      <c r="AA4311" s="1">
        <v>201850000</v>
      </c>
      <c r="AB4311" s="1">
        <v>34</v>
      </c>
    </row>
    <row r="4312" spans="1:28" x14ac:dyDescent="0.15">
      <c r="A4312" s="1">
        <v>10866</v>
      </c>
      <c r="L4312" s="1" t="s">
        <v>2091</v>
      </c>
      <c r="N4312" s="1" t="s">
        <v>2092</v>
      </c>
      <c r="P4312" s="1" t="s">
        <v>277</v>
      </c>
      <c r="Q4312" s="3">
        <v>0</v>
      </c>
      <c r="S4312" s="23" t="s">
        <v>5949</v>
      </c>
      <c r="W4312" s="45" t="str">
        <f>HYPERLINK("http://ictvonline.org/taxonomy/p/taxonomy-history?taxnode_id=201853195","ICTVonline=201853195")</f>
        <v>ICTVonline=201853195</v>
      </c>
      <c r="AA4312" s="1">
        <v>201850000</v>
      </c>
      <c r="AB4312" s="1">
        <v>34</v>
      </c>
    </row>
    <row r="4313" spans="1:28" x14ac:dyDescent="0.15">
      <c r="A4313" s="1">
        <v>10868</v>
      </c>
      <c r="L4313" s="1" t="s">
        <v>2091</v>
      </c>
      <c r="N4313" s="1" t="s">
        <v>2092</v>
      </c>
      <c r="P4313" s="1" t="s">
        <v>2390</v>
      </c>
      <c r="Q4313" s="3">
        <v>0</v>
      </c>
      <c r="S4313" s="23" t="s">
        <v>5949</v>
      </c>
      <c r="W4313" s="45" t="str">
        <f>HYPERLINK("http://ictvonline.org/taxonomy/p/taxonomy-history?taxnode_id=201853196","ICTVonline=201853196")</f>
        <v>ICTVonline=201853196</v>
      </c>
      <c r="AA4313" s="1">
        <v>201850000</v>
      </c>
      <c r="AB4313" s="1">
        <v>34</v>
      </c>
    </row>
    <row r="4314" spans="1:28" x14ac:dyDescent="0.15">
      <c r="A4314" s="1">
        <v>10870</v>
      </c>
      <c r="L4314" s="1" t="s">
        <v>2091</v>
      </c>
      <c r="N4314" s="1" t="s">
        <v>2092</v>
      </c>
      <c r="P4314" s="1" t="s">
        <v>2391</v>
      </c>
      <c r="Q4314" s="3">
        <v>0</v>
      </c>
      <c r="S4314" s="23" t="s">
        <v>5949</v>
      </c>
      <c r="W4314" s="45" t="str">
        <f>HYPERLINK("http://ictvonline.org/taxonomy/p/taxonomy-history?taxnode_id=201853197","ICTVonline=201853197")</f>
        <v>ICTVonline=201853197</v>
      </c>
      <c r="AA4314" s="1">
        <v>201850000</v>
      </c>
      <c r="AB4314" s="1">
        <v>34</v>
      </c>
    </row>
    <row r="4315" spans="1:28" x14ac:dyDescent="0.15">
      <c r="A4315" s="1">
        <v>10872</v>
      </c>
      <c r="L4315" s="1" t="s">
        <v>2091</v>
      </c>
      <c r="N4315" s="1" t="s">
        <v>2092</v>
      </c>
      <c r="P4315" s="1" t="s">
        <v>7052</v>
      </c>
      <c r="Q4315" s="3">
        <v>0</v>
      </c>
      <c r="S4315" s="23" t="s">
        <v>5949</v>
      </c>
      <c r="T4315" s="23" t="s">
        <v>4929</v>
      </c>
      <c r="U4315" s="3">
        <v>34</v>
      </c>
      <c r="V4315" s="3" t="s">
        <v>7049</v>
      </c>
      <c r="W4315" s="45" t="str">
        <f>HYPERLINK("http://ictvonline.org/taxonomy/p/taxonomy-history?taxnode_id=201856695","ICTVonline=201856695")</f>
        <v>ICTVonline=201856695</v>
      </c>
      <c r="AA4315" s="1">
        <v>201850000</v>
      </c>
      <c r="AB4315" s="1">
        <v>34</v>
      </c>
    </row>
    <row r="4316" spans="1:28" x14ac:dyDescent="0.15">
      <c r="A4316" s="1">
        <v>10874</v>
      </c>
      <c r="L4316" s="1" t="s">
        <v>2091</v>
      </c>
      <c r="N4316" s="1" t="s">
        <v>2092</v>
      </c>
      <c r="P4316" s="1" t="s">
        <v>278</v>
      </c>
      <c r="Q4316" s="3">
        <v>0</v>
      </c>
      <c r="S4316" s="23" t="s">
        <v>5949</v>
      </c>
      <c r="W4316" s="45" t="str">
        <f>HYPERLINK("http://ictvonline.org/taxonomy/p/taxonomy-history?taxnode_id=201853198","ICTVonline=201853198")</f>
        <v>ICTVonline=201853198</v>
      </c>
      <c r="AA4316" s="1">
        <v>201850000</v>
      </c>
      <c r="AB4316" s="1">
        <v>34</v>
      </c>
    </row>
    <row r="4317" spans="1:28" x14ac:dyDescent="0.15">
      <c r="A4317" s="1">
        <v>10876</v>
      </c>
      <c r="L4317" s="1" t="s">
        <v>2091</v>
      </c>
      <c r="N4317" s="1" t="s">
        <v>2092</v>
      </c>
      <c r="P4317" s="1" t="s">
        <v>279</v>
      </c>
      <c r="Q4317" s="3">
        <v>0</v>
      </c>
      <c r="S4317" s="23" t="s">
        <v>5949</v>
      </c>
      <c r="W4317" s="45" t="str">
        <f>HYPERLINK("http://ictvonline.org/taxonomy/p/taxonomy-history?taxnode_id=201853199","ICTVonline=201853199")</f>
        <v>ICTVonline=201853199</v>
      </c>
      <c r="AA4317" s="1">
        <v>201850000</v>
      </c>
      <c r="AB4317" s="1">
        <v>34</v>
      </c>
    </row>
    <row r="4318" spans="1:28" x14ac:dyDescent="0.15">
      <c r="A4318" s="1">
        <v>10878</v>
      </c>
      <c r="L4318" s="1" t="s">
        <v>2091</v>
      </c>
      <c r="N4318" s="1" t="s">
        <v>2092</v>
      </c>
      <c r="P4318" s="1" t="s">
        <v>280</v>
      </c>
      <c r="Q4318" s="3">
        <v>0</v>
      </c>
      <c r="S4318" s="23" t="s">
        <v>5949</v>
      </c>
      <c r="W4318" s="45" t="str">
        <f>HYPERLINK("http://ictvonline.org/taxonomy/p/taxonomy-history?taxnode_id=201853200","ICTVonline=201853200")</f>
        <v>ICTVonline=201853200</v>
      </c>
      <c r="AA4318" s="1">
        <v>201850000</v>
      </c>
      <c r="AB4318" s="1">
        <v>34</v>
      </c>
    </row>
    <row r="4319" spans="1:28" x14ac:dyDescent="0.15">
      <c r="A4319" s="1">
        <v>10880</v>
      </c>
      <c r="L4319" s="1" t="s">
        <v>2091</v>
      </c>
      <c r="N4319" s="1" t="s">
        <v>2092</v>
      </c>
      <c r="P4319" s="1" t="s">
        <v>3770</v>
      </c>
      <c r="Q4319" s="3">
        <v>0</v>
      </c>
      <c r="S4319" s="23" t="s">
        <v>5949</v>
      </c>
      <c r="W4319" s="45" t="str">
        <f>HYPERLINK("http://ictvonline.org/taxonomy/p/taxonomy-history?taxnode_id=201853201","ICTVonline=201853201")</f>
        <v>ICTVonline=201853201</v>
      </c>
      <c r="AA4319" s="1">
        <v>201850000</v>
      </c>
      <c r="AB4319" s="1">
        <v>34</v>
      </c>
    </row>
    <row r="4320" spans="1:28" x14ac:dyDescent="0.15">
      <c r="A4320" s="1">
        <v>10882</v>
      </c>
      <c r="L4320" s="1" t="s">
        <v>2091</v>
      </c>
      <c r="N4320" s="1" t="s">
        <v>2092</v>
      </c>
      <c r="P4320" s="1" t="s">
        <v>3771</v>
      </c>
      <c r="Q4320" s="3">
        <v>0</v>
      </c>
      <c r="S4320" s="23" t="s">
        <v>5949</v>
      </c>
      <c r="W4320" s="45" t="str">
        <f>HYPERLINK("http://ictvonline.org/taxonomy/p/taxonomy-history?taxnode_id=201853202","ICTVonline=201853202")</f>
        <v>ICTVonline=201853202</v>
      </c>
      <c r="AA4320" s="1">
        <v>201850000</v>
      </c>
      <c r="AB4320" s="1">
        <v>34</v>
      </c>
    </row>
    <row r="4321" spans="1:28" x14ac:dyDescent="0.15">
      <c r="A4321" s="1">
        <v>10884</v>
      </c>
      <c r="L4321" s="1" t="s">
        <v>2091</v>
      </c>
      <c r="N4321" s="1" t="s">
        <v>2092</v>
      </c>
      <c r="P4321" s="1" t="s">
        <v>3772</v>
      </c>
      <c r="Q4321" s="3">
        <v>0</v>
      </c>
      <c r="S4321" s="23" t="s">
        <v>5949</v>
      </c>
      <c r="W4321" s="45" t="str">
        <f>HYPERLINK("http://ictvonline.org/taxonomy/p/taxonomy-history?taxnode_id=201853203","ICTVonline=201853203")</f>
        <v>ICTVonline=201853203</v>
      </c>
      <c r="AA4321" s="1">
        <v>201850000</v>
      </c>
      <c r="AB4321" s="1">
        <v>34</v>
      </c>
    </row>
    <row r="4322" spans="1:28" x14ac:dyDescent="0.15">
      <c r="A4322" s="1">
        <v>10886</v>
      </c>
      <c r="L4322" s="1" t="s">
        <v>2091</v>
      </c>
      <c r="N4322" s="1" t="s">
        <v>2092</v>
      </c>
      <c r="P4322" s="1" t="s">
        <v>2392</v>
      </c>
      <c r="Q4322" s="3">
        <v>0</v>
      </c>
      <c r="S4322" s="23" t="s">
        <v>5949</v>
      </c>
      <c r="W4322" s="45" t="str">
        <f>HYPERLINK("http://ictvonline.org/taxonomy/p/taxonomy-history?taxnode_id=201853204","ICTVonline=201853204")</f>
        <v>ICTVonline=201853204</v>
      </c>
      <c r="AA4322" s="1">
        <v>201850000</v>
      </c>
      <c r="AB4322" s="1">
        <v>34</v>
      </c>
    </row>
    <row r="4323" spans="1:28" x14ac:dyDescent="0.15">
      <c r="A4323" s="1">
        <v>10888</v>
      </c>
      <c r="L4323" s="1" t="s">
        <v>2091</v>
      </c>
      <c r="N4323" s="1" t="s">
        <v>2092</v>
      </c>
      <c r="P4323" s="1" t="s">
        <v>281</v>
      </c>
      <c r="Q4323" s="3">
        <v>0</v>
      </c>
      <c r="S4323" s="23" t="s">
        <v>5949</v>
      </c>
      <c r="W4323" s="45" t="str">
        <f>HYPERLINK("http://ictvonline.org/taxonomy/p/taxonomy-history?taxnode_id=201853205","ICTVonline=201853205")</f>
        <v>ICTVonline=201853205</v>
      </c>
      <c r="AA4323" s="1">
        <v>201850000</v>
      </c>
      <c r="AB4323" s="1">
        <v>34</v>
      </c>
    </row>
    <row r="4324" spans="1:28" x14ac:dyDescent="0.15">
      <c r="A4324" s="1">
        <v>10890</v>
      </c>
      <c r="L4324" s="1" t="s">
        <v>2091</v>
      </c>
      <c r="N4324" s="1" t="s">
        <v>2092</v>
      </c>
      <c r="P4324" s="1" t="s">
        <v>3773</v>
      </c>
      <c r="Q4324" s="3">
        <v>0</v>
      </c>
      <c r="S4324" s="23" t="s">
        <v>5949</v>
      </c>
      <c r="W4324" s="45" t="str">
        <f>HYPERLINK("http://ictvonline.org/taxonomy/p/taxonomy-history?taxnode_id=201853206","ICTVonline=201853206")</f>
        <v>ICTVonline=201853206</v>
      </c>
      <c r="AA4324" s="1">
        <v>201850000</v>
      </c>
      <c r="AB4324" s="1">
        <v>34</v>
      </c>
    </row>
    <row r="4325" spans="1:28" x14ac:dyDescent="0.15">
      <c r="A4325" s="1">
        <v>10892</v>
      </c>
      <c r="L4325" s="1" t="s">
        <v>2091</v>
      </c>
      <c r="N4325" s="1" t="s">
        <v>2092</v>
      </c>
      <c r="P4325" s="1" t="s">
        <v>7053</v>
      </c>
      <c r="Q4325" s="3">
        <v>0</v>
      </c>
      <c r="S4325" s="23" t="s">
        <v>5949</v>
      </c>
      <c r="T4325" s="23" t="s">
        <v>4929</v>
      </c>
      <c r="U4325" s="3">
        <v>34</v>
      </c>
      <c r="V4325" s="3" t="s">
        <v>7049</v>
      </c>
      <c r="W4325" s="45" t="str">
        <f>HYPERLINK("http://ictvonline.org/taxonomy/p/taxonomy-history?taxnode_id=201856696","ICTVonline=201856696")</f>
        <v>ICTVonline=201856696</v>
      </c>
      <c r="AA4325" s="1">
        <v>201850000</v>
      </c>
      <c r="AB4325" s="1">
        <v>34</v>
      </c>
    </row>
    <row r="4326" spans="1:28" x14ac:dyDescent="0.15">
      <c r="A4326" s="1">
        <v>10894</v>
      </c>
      <c r="L4326" s="1" t="s">
        <v>2091</v>
      </c>
      <c r="N4326" s="1" t="s">
        <v>2092</v>
      </c>
      <c r="P4326" s="1" t="s">
        <v>7054</v>
      </c>
      <c r="Q4326" s="3">
        <v>0</v>
      </c>
      <c r="S4326" s="23" t="s">
        <v>5949</v>
      </c>
      <c r="T4326" s="23" t="s">
        <v>4929</v>
      </c>
      <c r="U4326" s="3">
        <v>34</v>
      </c>
      <c r="V4326" s="3" t="s">
        <v>7049</v>
      </c>
      <c r="W4326" s="45" t="str">
        <f>HYPERLINK("http://ictvonline.org/taxonomy/p/taxonomy-history?taxnode_id=201856697","ICTVonline=201856697")</f>
        <v>ICTVonline=201856697</v>
      </c>
      <c r="AA4326" s="1">
        <v>201850000</v>
      </c>
      <c r="AB4326" s="1">
        <v>34</v>
      </c>
    </row>
    <row r="4327" spans="1:28" x14ac:dyDescent="0.15">
      <c r="A4327" s="1">
        <v>10896</v>
      </c>
      <c r="L4327" s="1" t="s">
        <v>2091</v>
      </c>
      <c r="N4327" s="1" t="s">
        <v>2092</v>
      </c>
      <c r="P4327" s="1" t="s">
        <v>7055</v>
      </c>
      <c r="Q4327" s="3">
        <v>0</v>
      </c>
      <c r="S4327" s="23" t="s">
        <v>5949</v>
      </c>
      <c r="T4327" s="23" t="s">
        <v>4929</v>
      </c>
      <c r="U4327" s="3">
        <v>34</v>
      </c>
      <c r="V4327" s="3" t="s">
        <v>7049</v>
      </c>
      <c r="W4327" s="45" t="str">
        <f>HYPERLINK("http://ictvonline.org/taxonomy/p/taxonomy-history?taxnode_id=201856698","ICTVonline=201856698")</f>
        <v>ICTVonline=201856698</v>
      </c>
      <c r="AA4327" s="1">
        <v>201850000</v>
      </c>
      <c r="AB4327" s="1">
        <v>34</v>
      </c>
    </row>
    <row r="4328" spans="1:28" x14ac:dyDescent="0.15">
      <c r="A4328" s="1">
        <v>10898</v>
      </c>
      <c r="L4328" s="1" t="s">
        <v>2091</v>
      </c>
      <c r="N4328" s="1" t="s">
        <v>2092</v>
      </c>
      <c r="P4328" s="1" t="s">
        <v>3774</v>
      </c>
      <c r="Q4328" s="3">
        <v>0</v>
      </c>
      <c r="S4328" s="23" t="s">
        <v>5949</v>
      </c>
      <c r="W4328" s="45" t="str">
        <f>HYPERLINK("http://ictvonline.org/taxonomy/p/taxonomy-history?taxnode_id=201853207","ICTVonline=201853207")</f>
        <v>ICTVonline=201853207</v>
      </c>
      <c r="AA4328" s="1">
        <v>201850000</v>
      </c>
      <c r="AB4328" s="1">
        <v>34</v>
      </c>
    </row>
    <row r="4329" spans="1:28" x14ac:dyDescent="0.15">
      <c r="A4329" s="1">
        <v>10900</v>
      </c>
      <c r="L4329" s="1" t="s">
        <v>2091</v>
      </c>
      <c r="N4329" s="1" t="s">
        <v>2092</v>
      </c>
      <c r="P4329" s="1" t="s">
        <v>3775</v>
      </c>
      <c r="Q4329" s="3">
        <v>0</v>
      </c>
      <c r="S4329" s="23" t="s">
        <v>5949</v>
      </c>
      <c r="W4329" s="45" t="str">
        <f>HYPERLINK("http://ictvonline.org/taxonomy/p/taxonomy-history?taxnode_id=201853208","ICTVonline=201853208")</f>
        <v>ICTVonline=201853208</v>
      </c>
      <c r="AA4329" s="1">
        <v>201850000</v>
      </c>
      <c r="AB4329" s="1">
        <v>34</v>
      </c>
    </row>
    <row r="4330" spans="1:28" x14ac:dyDescent="0.15">
      <c r="A4330" s="1">
        <v>10902</v>
      </c>
      <c r="L4330" s="1" t="s">
        <v>2091</v>
      </c>
      <c r="N4330" s="1" t="s">
        <v>2092</v>
      </c>
      <c r="P4330" s="1" t="s">
        <v>7056</v>
      </c>
      <c r="Q4330" s="3">
        <v>0</v>
      </c>
      <c r="S4330" s="23" t="s">
        <v>5949</v>
      </c>
      <c r="T4330" s="23" t="s">
        <v>4929</v>
      </c>
      <c r="U4330" s="3">
        <v>34</v>
      </c>
      <c r="V4330" s="3" t="s">
        <v>7049</v>
      </c>
      <c r="W4330" s="45" t="str">
        <f>HYPERLINK("http://ictvonline.org/taxonomy/p/taxonomy-history?taxnode_id=201856699","ICTVonline=201856699")</f>
        <v>ICTVonline=201856699</v>
      </c>
      <c r="AA4330" s="1">
        <v>201850000</v>
      </c>
      <c r="AB4330" s="1">
        <v>34</v>
      </c>
    </row>
    <row r="4331" spans="1:28" x14ac:dyDescent="0.15">
      <c r="A4331" s="1">
        <v>10904</v>
      </c>
      <c r="L4331" s="1" t="s">
        <v>2091</v>
      </c>
      <c r="N4331" s="1" t="s">
        <v>2092</v>
      </c>
      <c r="P4331" s="1" t="s">
        <v>3776</v>
      </c>
      <c r="Q4331" s="3">
        <v>0</v>
      </c>
      <c r="S4331" s="23" t="s">
        <v>5949</v>
      </c>
      <c r="W4331" s="45" t="str">
        <f>HYPERLINK("http://ictvonline.org/taxonomy/p/taxonomy-history?taxnode_id=201853209","ICTVonline=201853209")</f>
        <v>ICTVonline=201853209</v>
      </c>
      <c r="AA4331" s="1">
        <v>201850000</v>
      </c>
      <c r="AB4331" s="1">
        <v>34</v>
      </c>
    </row>
    <row r="4332" spans="1:28" x14ac:dyDescent="0.15">
      <c r="A4332" s="1">
        <v>10906</v>
      </c>
      <c r="L4332" s="1" t="s">
        <v>2091</v>
      </c>
      <c r="N4332" s="1" t="s">
        <v>2092</v>
      </c>
      <c r="P4332" s="1" t="s">
        <v>282</v>
      </c>
      <c r="Q4332" s="3">
        <v>0</v>
      </c>
      <c r="S4332" s="23" t="s">
        <v>5949</v>
      </c>
      <c r="W4332" s="45" t="str">
        <f>HYPERLINK("http://ictvonline.org/taxonomy/p/taxonomy-history?taxnode_id=201853210","ICTVonline=201853210")</f>
        <v>ICTVonline=201853210</v>
      </c>
      <c r="AA4332" s="1">
        <v>201850000</v>
      </c>
      <c r="AB4332" s="1">
        <v>34</v>
      </c>
    </row>
    <row r="4333" spans="1:28" x14ac:dyDescent="0.15">
      <c r="A4333" s="1">
        <v>10908</v>
      </c>
      <c r="L4333" s="1" t="s">
        <v>2091</v>
      </c>
      <c r="N4333" s="1" t="s">
        <v>2092</v>
      </c>
      <c r="P4333" s="1" t="s">
        <v>2393</v>
      </c>
      <c r="Q4333" s="3">
        <v>0</v>
      </c>
      <c r="S4333" s="23" t="s">
        <v>5949</v>
      </c>
      <c r="W4333" s="45" t="str">
        <f>HYPERLINK("http://ictvonline.org/taxonomy/p/taxonomy-history?taxnode_id=201853211","ICTVonline=201853211")</f>
        <v>ICTVonline=201853211</v>
      </c>
      <c r="AA4333" s="1">
        <v>201850000</v>
      </c>
      <c r="AB4333" s="1">
        <v>34</v>
      </c>
    </row>
    <row r="4334" spans="1:28" x14ac:dyDescent="0.15">
      <c r="A4334" s="1">
        <v>10910</v>
      </c>
      <c r="L4334" s="1" t="s">
        <v>2091</v>
      </c>
      <c r="N4334" s="1" t="s">
        <v>2092</v>
      </c>
      <c r="P4334" s="1" t="s">
        <v>283</v>
      </c>
      <c r="Q4334" s="3">
        <v>0</v>
      </c>
      <c r="S4334" s="23" t="s">
        <v>5949</v>
      </c>
      <c r="W4334" s="45" t="str">
        <f>HYPERLINK("http://ictvonline.org/taxonomy/p/taxonomy-history?taxnode_id=201853212","ICTVonline=201853212")</f>
        <v>ICTVonline=201853212</v>
      </c>
      <c r="AA4334" s="1">
        <v>201850000</v>
      </c>
      <c r="AB4334" s="1">
        <v>34</v>
      </c>
    </row>
    <row r="4335" spans="1:28" x14ac:dyDescent="0.15">
      <c r="A4335" s="1">
        <v>10912</v>
      </c>
      <c r="L4335" s="1" t="s">
        <v>2091</v>
      </c>
      <c r="N4335" s="1" t="s">
        <v>2092</v>
      </c>
      <c r="P4335" s="1" t="s">
        <v>2394</v>
      </c>
      <c r="Q4335" s="3">
        <v>0</v>
      </c>
      <c r="S4335" s="23" t="s">
        <v>5949</v>
      </c>
      <c r="W4335" s="45" t="str">
        <f>HYPERLINK("http://ictvonline.org/taxonomy/p/taxonomy-history?taxnode_id=201853213","ICTVonline=201853213")</f>
        <v>ICTVonline=201853213</v>
      </c>
      <c r="AA4335" s="1">
        <v>201850000</v>
      </c>
      <c r="AB4335" s="1">
        <v>34</v>
      </c>
    </row>
    <row r="4336" spans="1:28" x14ac:dyDescent="0.15">
      <c r="A4336" s="1">
        <v>10914</v>
      </c>
      <c r="L4336" s="1" t="s">
        <v>2091</v>
      </c>
      <c r="N4336" s="1" t="s">
        <v>2092</v>
      </c>
      <c r="P4336" s="1" t="s">
        <v>2395</v>
      </c>
      <c r="Q4336" s="3">
        <v>0</v>
      </c>
      <c r="S4336" s="23" t="s">
        <v>5949</v>
      </c>
      <c r="W4336" s="45" t="str">
        <f>HYPERLINK("http://ictvonline.org/taxonomy/p/taxonomy-history?taxnode_id=201853214","ICTVonline=201853214")</f>
        <v>ICTVonline=201853214</v>
      </c>
      <c r="AA4336" s="1">
        <v>201850000</v>
      </c>
      <c r="AB4336" s="1">
        <v>34</v>
      </c>
    </row>
    <row r="4337" spans="1:28" x14ac:dyDescent="0.15">
      <c r="A4337" s="1">
        <v>10916</v>
      </c>
      <c r="L4337" s="1" t="s">
        <v>2091</v>
      </c>
      <c r="N4337" s="1" t="s">
        <v>2092</v>
      </c>
      <c r="P4337" s="1" t="s">
        <v>284</v>
      </c>
      <c r="Q4337" s="3">
        <v>0</v>
      </c>
      <c r="S4337" s="23" t="s">
        <v>5949</v>
      </c>
      <c r="W4337" s="45" t="str">
        <f>HYPERLINK("http://ictvonline.org/taxonomy/p/taxonomy-history?taxnode_id=201853215","ICTVonline=201853215")</f>
        <v>ICTVonline=201853215</v>
      </c>
      <c r="AA4337" s="1">
        <v>201850000</v>
      </c>
      <c r="AB4337" s="1">
        <v>34</v>
      </c>
    </row>
    <row r="4338" spans="1:28" x14ac:dyDescent="0.15">
      <c r="A4338" s="1">
        <v>10918</v>
      </c>
      <c r="L4338" s="1" t="s">
        <v>2091</v>
      </c>
      <c r="N4338" s="1" t="s">
        <v>2092</v>
      </c>
      <c r="P4338" s="1" t="s">
        <v>3777</v>
      </c>
      <c r="Q4338" s="3">
        <v>0</v>
      </c>
      <c r="S4338" s="23" t="s">
        <v>5949</v>
      </c>
      <c r="W4338" s="45" t="str">
        <f>HYPERLINK("http://ictvonline.org/taxonomy/p/taxonomy-history?taxnode_id=201853216","ICTVonline=201853216")</f>
        <v>ICTVonline=201853216</v>
      </c>
      <c r="AA4338" s="1">
        <v>201850000</v>
      </c>
      <c r="AB4338" s="1">
        <v>34</v>
      </c>
    </row>
    <row r="4339" spans="1:28" x14ac:dyDescent="0.15">
      <c r="A4339" s="1">
        <v>10920</v>
      </c>
      <c r="L4339" s="1" t="s">
        <v>2091</v>
      </c>
      <c r="N4339" s="1" t="s">
        <v>2092</v>
      </c>
      <c r="P4339" s="1" t="s">
        <v>3778</v>
      </c>
      <c r="Q4339" s="3">
        <v>0</v>
      </c>
      <c r="S4339" s="23" t="s">
        <v>5949</v>
      </c>
      <c r="W4339" s="45" t="str">
        <f>HYPERLINK("http://ictvonline.org/taxonomy/p/taxonomy-history?taxnode_id=201853217","ICTVonline=201853217")</f>
        <v>ICTVonline=201853217</v>
      </c>
      <c r="AA4339" s="1">
        <v>201850000</v>
      </c>
      <c r="AB4339" s="1">
        <v>34</v>
      </c>
    </row>
    <row r="4340" spans="1:28" x14ac:dyDescent="0.15">
      <c r="A4340" s="1">
        <v>10922</v>
      </c>
      <c r="L4340" s="1" t="s">
        <v>2091</v>
      </c>
      <c r="N4340" s="1" t="s">
        <v>2092</v>
      </c>
      <c r="P4340" s="1" t="s">
        <v>3779</v>
      </c>
      <c r="Q4340" s="3">
        <v>0</v>
      </c>
      <c r="S4340" s="23" t="s">
        <v>5949</v>
      </c>
      <c r="W4340" s="45" t="str">
        <f>HYPERLINK("http://ictvonline.org/taxonomy/p/taxonomy-history?taxnode_id=201853218","ICTVonline=201853218")</f>
        <v>ICTVonline=201853218</v>
      </c>
      <c r="AA4340" s="1">
        <v>201850000</v>
      </c>
      <c r="AB4340" s="1">
        <v>34</v>
      </c>
    </row>
    <row r="4341" spans="1:28" x14ac:dyDescent="0.15">
      <c r="A4341" s="1">
        <v>10924</v>
      </c>
      <c r="L4341" s="1" t="s">
        <v>2091</v>
      </c>
      <c r="N4341" s="1" t="s">
        <v>2092</v>
      </c>
      <c r="P4341" s="1" t="s">
        <v>5375</v>
      </c>
      <c r="Q4341" s="3">
        <v>0</v>
      </c>
      <c r="S4341" s="23" t="s">
        <v>5949</v>
      </c>
      <c r="W4341" s="45" t="str">
        <f>HYPERLINK("http://ictvonline.org/taxonomy/p/taxonomy-history?taxnode_id=201855791","ICTVonline=201855791")</f>
        <v>ICTVonline=201855791</v>
      </c>
      <c r="AA4341" s="1">
        <v>201850000</v>
      </c>
      <c r="AB4341" s="1">
        <v>34</v>
      </c>
    </row>
    <row r="4342" spans="1:28" x14ac:dyDescent="0.15">
      <c r="A4342" s="1">
        <v>10926</v>
      </c>
      <c r="L4342" s="1" t="s">
        <v>2091</v>
      </c>
      <c r="N4342" s="1" t="s">
        <v>2092</v>
      </c>
      <c r="P4342" s="1" t="s">
        <v>5376</v>
      </c>
      <c r="Q4342" s="3">
        <v>0</v>
      </c>
      <c r="S4342" s="23" t="s">
        <v>5949</v>
      </c>
      <c r="W4342" s="45" t="str">
        <f>HYPERLINK("http://ictvonline.org/taxonomy/p/taxonomy-history?taxnode_id=201855792","ICTVonline=201855792")</f>
        <v>ICTVonline=201855792</v>
      </c>
      <c r="AA4342" s="1">
        <v>201850000</v>
      </c>
      <c r="AB4342" s="1">
        <v>34</v>
      </c>
    </row>
    <row r="4343" spans="1:28" x14ac:dyDescent="0.15">
      <c r="A4343" s="1">
        <v>10928</v>
      </c>
      <c r="L4343" s="1" t="s">
        <v>2091</v>
      </c>
      <c r="N4343" s="1" t="s">
        <v>2092</v>
      </c>
      <c r="P4343" s="1" t="s">
        <v>5377</v>
      </c>
      <c r="Q4343" s="3">
        <v>0</v>
      </c>
      <c r="S4343" s="23" t="s">
        <v>5949</v>
      </c>
      <c r="W4343" s="45" t="str">
        <f>HYPERLINK("http://ictvonline.org/taxonomy/p/taxonomy-history?taxnode_id=201855793","ICTVonline=201855793")</f>
        <v>ICTVonline=201855793</v>
      </c>
      <c r="AA4343" s="1">
        <v>201850000</v>
      </c>
      <c r="AB4343" s="1">
        <v>34</v>
      </c>
    </row>
    <row r="4344" spans="1:28" x14ac:dyDescent="0.15">
      <c r="A4344" s="1">
        <v>10930</v>
      </c>
      <c r="L4344" s="1" t="s">
        <v>2091</v>
      </c>
      <c r="N4344" s="1" t="s">
        <v>2092</v>
      </c>
      <c r="P4344" s="1" t="s">
        <v>5378</v>
      </c>
      <c r="Q4344" s="3">
        <v>0</v>
      </c>
      <c r="S4344" s="23" t="s">
        <v>5949</v>
      </c>
      <c r="W4344" s="45" t="str">
        <f>HYPERLINK("http://ictvonline.org/taxonomy/p/taxonomy-history?taxnode_id=201855794","ICTVonline=201855794")</f>
        <v>ICTVonline=201855794</v>
      </c>
      <c r="AA4344" s="1">
        <v>201850000</v>
      </c>
      <c r="AB4344" s="1">
        <v>34</v>
      </c>
    </row>
    <row r="4345" spans="1:28" x14ac:dyDescent="0.15">
      <c r="A4345" s="1">
        <v>10932</v>
      </c>
      <c r="L4345" s="1" t="s">
        <v>2091</v>
      </c>
      <c r="N4345" s="1" t="s">
        <v>2092</v>
      </c>
      <c r="P4345" s="1" t="s">
        <v>285</v>
      </c>
      <c r="Q4345" s="3">
        <v>0</v>
      </c>
      <c r="S4345" s="23" t="s">
        <v>5949</v>
      </c>
      <c r="W4345" s="45" t="str">
        <f>HYPERLINK("http://ictvonline.org/taxonomy/p/taxonomy-history?taxnode_id=201853219","ICTVonline=201853219")</f>
        <v>ICTVonline=201853219</v>
      </c>
      <c r="AA4345" s="1">
        <v>201850000</v>
      </c>
      <c r="AB4345" s="1">
        <v>34</v>
      </c>
    </row>
    <row r="4346" spans="1:28" x14ac:dyDescent="0.15">
      <c r="A4346" s="1">
        <v>10934</v>
      </c>
      <c r="L4346" s="1" t="s">
        <v>2091</v>
      </c>
      <c r="N4346" s="1" t="s">
        <v>2092</v>
      </c>
      <c r="P4346" s="1" t="s">
        <v>286</v>
      </c>
      <c r="Q4346" s="3">
        <v>0</v>
      </c>
      <c r="S4346" s="23" t="s">
        <v>5949</v>
      </c>
      <c r="W4346" s="45" t="str">
        <f>HYPERLINK("http://ictvonline.org/taxonomy/p/taxonomy-history?taxnode_id=201853220","ICTVonline=201853220")</f>
        <v>ICTVonline=201853220</v>
      </c>
      <c r="AA4346" s="1">
        <v>201850000</v>
      </c>
      <c r="AB4346" s="1">
        <v>34</v>
      </c>
    </row>
    <row r="4347" spans="1:28" x14ac:dyDescent="0.15">
      <c r="A4347" s="1">
        <v>10936</v>
      </c>
      <c r="L4347" s="1" t="s">
        <v>2091</v>
      </c>
      <c r="N4347" s="1" t="s">
        <v>2092</v>
      </c>
      <c r="P4347" s="1" t="s">
        <v>3780</v>
      </c>
      <c r="Q4347" s="3">
        <v>0</v>
      </c>
      <c r="S4347" s="23" t="s">
        <v>5949</v>
      </c>
      <c r="W4347" s="45" t="str">
        <f>HYPERLINK("http://ictvonline.org/taxonomy/p/taxonomy-history?taxnode_id=201853221","ICTVonline=201853221")</f>
        <v>ICTVonline=201853221</v>
      </c>
      <c r="AA4347" s="1">
        <v>201850000</v>
      </c>
      <c r="AB4347" s="1">
        <v>34</v>
      </c>
    </row>
    <row r="4348" spans="1:28" x14ac:dyDescent="0.15">
      <c r="A4348" s="1">
        <v>10938</v>
      </c>
      <c r="L4348" s="1" t="s">
        <v>2091</v>
      </c>
      <c r="N4348" s="1" t="s">
        <v>2092</v>
      </c>
      <c r="P4348" s="1" t="s">
        <v>94</v>
      </c>
      <c r="Q4348" s="3">
        <v>0</v>
      </c>
      <c r="S4348" s="23" t="s">
        <v>5949</v>
      </c>
      <c r="W4348" s="45" t="str">
        <f>HYPERLINK("http://ictvonline.org/taxonomy/p/taxonomy-history?taxnode_id=201853222","ICTVonline=201853222")</f>
        <v>ICTVonline=201853222</v>
      </c>
      <c r="AA4348" s="1">
        <v>201850000</v>
      </c>
      <c r="AB4348" s="1">
        <v>34</v>
      </c>
    </row>
    <row r="4349" spans="1:28" x14ac:dyDescent="0.15">
      <c r="A4349" s="1">
        <v>10940</v>
      </c>
      <c r="L4349" s="1" t="s">
        <v>2091</v>
      </c>
      <c r="N4349" s="1" t="s">
        <v>2092</v>
      </c>
      <c r="P4349" s="1" t="s">
        <v>3781</v>
      </c>
      <c r="Q4349" s="3">
        <v>0</v>
      </c>
      <c r="S4349" s="23" t="s">
        <v>5949</v>
      </c>
      <c r="W4349" s="45" t="str">
        <f>HYPERLINK("http://ictvonline.org/taxonomy/p/taxonomy-history?taxnode_id=201853223","ICTVonline=201853223")</f>
        <v>ICTVonline=201853223</v>
      </c>
      <c r="AA4349" s="1">
        <v>201850000</v>
      </c>
      <c r="AB4349" s="1">
        <v>34</v>
      </c>
    </row>
    <row r="4350" spans="1:28" x14ac:dyDescent="0.15">
      <c r="A4350" s="1">
        <v>10942</v>
      </c>
      <c r="L4350" s="1" t="s">
        <v>2091</v>
      </c>
      <c r="N4350" s="1" t="s">
        <v>2092</v>
      </c>
      <c r="P4350" s="1" t="s">
        <v>413</v>
      </c>
      <c r="Q4350" s="3">
        <v>0</v>
      </c>
      <c r="S4350" s="23" t="s">
        <v>5949</v>
      </c>
      <c r="W4350" s="45" t="str">
        <f>HYPERLINK("http://ictvonline.org/taxonomy/p/taxonomy-history?taxnode_id=201853224","ICTVonline=201853224")</f>
        <v>ICTVonline=201853224</v>
      </c>
      <c r="AA4350" s="1">
        <v>201850000</v>
      </c>
      <c r="AB4350" s="1">
        <v>34</v>
      </c>
    </row>
    <row r="4351" spans="1:28" x14ac:dyDescent="0.15">
      <c r="A4351" s="1">
        <v>10944</v>
      </c>
      <c r="L4351" s="1" t="s">
        <v>2091</v>
      </c>
      <c r="N4351" s="1" t="s">
        <v>2092</v>
      </c>
      <c r="P4351" s="1" t="s">
        <v>289</v>
      </c>
      <c r="Q4351" s="3">
        <v>0</v>
      </c>
      <c r="S4351" s="23" t="s">
        <v>5949</v>
      </c>
      <c r="W4351" s="45" t="str">
        <f>HYPERLINK("http://ictvonline.org/taxonomy/p/taxonomy-history?taxnode_id=201853225","ICTVonline=201853225")</f>
        <v>ICTVonline=201853225</v>
      </c>
      <c r="AA4351" s="1">
        <v>201850000</v>
      </c>
      <c r="AB4351" s="1">
        <v>34</v>
      </c>
    </row>
    <row r="4352" spans="1:28" x14ac:dyDescent="0.15">
      <c r="A4352" s="1">
        <v>10946</v>
      </c>
      <c r="L4352" s="1" t="s">
        <v>2091</v>
      </c>
      <c r="N4352" s="1" t="s">
        <v>2092</v>
      </c>
      <c r="P4352" s="1" t="s">
        <v>1284</v>
      </c>
      <c r="Q4352" s="3">
        <v>0</v>
      </c>
      <c r="S4352" s="23" t="s">
        <v>5949</v>
      </c>
      <c r="W4352" s="45" t="str">
        <f>HYPERLINK("http://ictvonline.org/taxonomy/p/taxonomy-history?taxnode_id=201853226","ICTVonline=201853226")</f>
        <v>ICTVonline=201853226</v>
      </c>
      <c r="AA4352" s="1">
        <v>201850000</v>
      </c>
      <c r="AB4352" s="1">
        <v>34</v>
      </c>
    </row>
    <row r="4353" spans="1:28" x14ac:dyDescent="0.15">
      <c r="A4353" s="1">
        <v>10948</v>
      </c>
      <c r="L4353" s="1" t="s">
        <v>2091</v>
      </c>
      <c r="N4353" s="1" t="s">
        <v>2092</v>
      </c>
      <c r="P4353" s="1" t="s">
        <v>5379</v>
      </c>
      <c r="Q4353" s="3">
        <v>0</v>
      </c>
      <c r="S4353" s="23" t="s">
        <v>5949</v>
      </c>
      <c r="W4353" s="45" t="str">
        <f>HYPERLINK("http://ictvonline.org/taxonomy/p/taxonomy-history?taxnode_id=201855795","ICTVonline=201855795")</f>
        <v>ICTVonline=201855795</v>
      </c>
      <c r="AA4353" s="1">
        <v>201850000</v>
      </c>
      <c r="AB4353" s="1">
        <v>34</v>
      </c>
    </row>
    <row r="4354" spans="1:28" x14ac:dyDescent="0.15">
      <c r="A4354" s="1">
        <v>10950</v>
      </c>
      <c r="L4354" s="1" t="s">
        <v>2091</v>
      </c>
      <c r="N4354" s="1" t="s">
        <v>2092</v>
      </c>
      <c r="P4354" s="1" t="s">
        <v>291</v>
      </c>
      <c r="Q4354" s="3">
        <v>0</v>
      </c>
      <c r="S4354" s="23" t="s">
        <v>5949</v>
      </c>
      <c r="W4354" s="45" t="str">
        <f>HYPERLINK("http://ictvonline.org/taxonomy/p/taxonomy-history?taxnode_id=201853227","ICTVonline=201853227")</f>
        <v>ICTVonline=201853227</v>
      </c>
      <c r="AA4354" s="1">
        <v>201850000</v>
      </c>
      <c r="AB4354" s="1">
        <v>34</v>
      </c>
    </row>
    <row r="4355" spans="1:28" x14ac:dyDescent="0.15">
      <c r="A4355" s="1">
        <v>10952</v>
      </c>
      <c r="L4355" s="1" t="s">
        <v>2091</v>
      </c>
      <c r="N4355" s="1" t="s">
        <v>2092</v>
      </c>
      <c r="P4355" s="1" t="s">
        <v>292</v>
      </c>
      <c r="Q4355" s="3">
        <v>0</v>
      </c>
      <c r="S4355" s="23" t="s">
        <v>5949</v>
      </c>
      <c r="W4355" s="45" t="str">
        <f>HYPERLINK("http://ictvonline.org/taxonomy/p/taxonomy-history?taxnode_id=201853228","ICTVonline=201853228")</f>
        <v>ICTVonline=201853228</v>
      </c>
      <c r="AA4355" s="1">
        <v>201850000</v>
      </c>
      <c r="AB4355" s="1">
        <v>34</v>
      </c>
    </row>
    <row r="4356" spans="1:28" x14ac:dyDescent="0.15">
      <c r="A4356" s="1">
        <v>10954</v>
      </c>
      <c r="L4356" s="1" t="s">
        <v>2091</v>
      </c>
      <c r="N4356" s="1" t="s">
        <v>2092</v>
      </c>
      <c r="P4356" s="1" t="s">
        <v>409</v>
      </c>
      <c r="Q4356" s="3">
        <v>0</v>
      </c>
      <c r="S4356" s="23" t="s">
        <v>5949</v>
      </c>
      <c r="W4356" s="45" t="str">
        <f>HYPERLINK("http://ictvonline.org/taxonomy/p/taxonomy-history?taxnode_id=201853229","ICTVonline=201853229")</f>
        <v>ICTVonline=201853229</v>
      </c>
      <c r="AA4356" s="1">
        <v>201850000</v>
      </c>
      <c r="AB4356" s="1">
        <v>34</v>
      </c>
    </row>
    <row r="4357" spans="1:28" x14ac:dyDescent="0.15">
      <c r="A4357" s="1">
        <v>10956</v>
      </c>
      <c r="L4357" s="1" t="s">
        <v>2091</v>
      </c>
      <c r="N4357" s="1" t="s">
        <v>2092</v>
      </c>
      <c r="P4357" s="1" t="s">
        <v>5380</v>
      </c>
      <c r="Q4357" s="3">
        <v>0</v>
      </c>
      <c r="S4357" s="23" t="s">
        <v>5949</v>
      </c>
      <c r="W4357" s="45" t="str">
        <f>HYPERLINK("http://ictvonline.org/taxonomy/p/taxonomy-history?taxnode_id=201855796","ICTVonline=201855796")</f>
        <v>ICTVonline=201855796</v>
      </c>
      <c r="AA4357" s="1">
        <v>201850000</v>
      </c>
      <c r="AB4357" s="1">
        <v>34</v>
      </c>
    </row>
    <row r="4358" spans="1:28" x14ac:dyDescent="0.15">
      <c r="A4358" s="1">
        <v>10958</v>
      </c>
      <c r="L4358" s="1" t="s">
        <v>2091</v>
      </c>
      <c r="N4358" s="1" t="s">
        <v>2092</v>
      </c>
      <c r="P4358" s="1" t="s">
        <v>410</v>
      </c>
      <c r="Q4358" s="3">
        <v>0</v>
      </c>
      <c r="S4358" s="23" t="s">
        <v>5949</v>
      </c>
      <c r="W4358" s="45" t="str">
        <f>HYPERLINK("http://ictvonline.org/taxonomy/p/taxonomy-history?taxnode_id=201853230","ICTVonline=201853230")</f>
        <v>ICTVonline=201853230</v>
      </c>
      <c r="AA4358" s="1">
        <v>201850000</v>
      </c>
      <c r="AB4358" s="1">
        <v>34</v>
      </c>
    </row>
    <row r="4359" spans="1:28" x14ac:dyDescent="0.15">
      <c r="A4359" s="1">
        <v>10960</v>
      </c>
      <c r="L4359" s="1" t="s">
        <v>2091</v>
      </c>
      <c r="N4359" s="1" t="s">
        <v>2092</v>
      </c>
      <c r="P4359" s="1" t="s">
        <v>3782</v>
      </c>
      <c r="Q4359" s="3">
        <v>0</v>
      </c>
      <c r="S4359" s="23" t="s">
        <v>5949</v>
      </c>
      <c r="W4359" s="45" t="str">
        <f>HYPERLINK("http://ictvonline.org/taxonomy/p/taxonomy-history?taxnode_id=201853231","ICTVonline=201853231")</f>
        <v>ICTVonline=201853231</v>
      </c>
      <c r="AA4359" s="1">
        <v>201850000</v>
      </c>
      <c r="AB4359" s="1">
        <v>34</v>
      </c>
    </row>
    <row r="4360" spans="1:28" x14ac:dyDescent="0.15">
      <c r="A4360" s="1">
        <v>10962</v>
      </c>
      <c r="L4360" s="1" t="s">
        <v>2091</v>
      </c>
      <c r="N4360" s="1" t="s">
        <v>2092</v>
      </c>
      <c r="P4360" s="1" t="s">
        <v>1501</v>
      </c>
      <c r="Q4360" s="3">
        <v>0</v>
      </c>
      <c r="S4360" s="23" t="s">
        <v>5949</v>
      </c>
      <c r="W4360" s="45" t="str">
        <f>HYPERLINK("http://ictvonline.org/taxonomy/p/taxonomy-history?taxnode_id=201853232","ICTVonline=201853232")</f>
        <v>ICTVonline=201853232</v>
      </c>
      <c r="AA4360" s="1">
        <v>201850000</v>
      </c>
      <c r="AB4360" s="1">
        <v>34</v>
      </c>
    </row>
    <row r="4361" spans="1:28" x14ac:dyDescent="0.15">
      <c r="A4361" s="1">
        <v>10964</v>
      </c>
      <c r="L4361" s="1" t="s">
        <v>2091</v>
      </c>
      <c r="N4361" s="1" t="s">
        <v>2092</v>
      </c>
      <c r="P4361" s="1" t="s">
        <v>1723</v>
      </c>
      <c r="Q4361" s="3">
        <v>0</v>
      </c>
      <c r="S4361" s="23" t="s">
        <v>5949</v>
      </c>
      <c r="W4361" s="45" t="str">
        <f>HYPERLINK("http://ictvonline.org/taxonomy/p/taxonomy-history?taxnode_id=201853233","ICTVonline=201853233")</f>
        <v>ICTVonline=201853233</v>
      </c>
      <c r="AA4361" s="1">
        <v>201850000</v>
      </c>
      <c r="AB4361" s="1">
        <v>34</v>
      </c>
    </row>
    <row r="4362" spans="1:28" x14ac:dyDescent="0.15">
      <c r="A4362" s="1">
        <v>10966</v>
      </c>
      <c r="L4362" s="1" t="s">
        <v>2091</v>
      </c>
      <c r="N4362" s="1" t="s">
        <v>2092</v>
      </c>
      <c r="P4362" s="1" t="s">
        <v>2396</v>
      </c>
      <c r="Q4362" s="3">
        <v>0</v>
      </c>
      <c r="S4362" s="23" t="s">
        <v>5949</v>
      </c>
      <c r="W4362" s="45" t="str">
        <f>HYPERLINK("http://ictvonline.org/taxonomy/p/taxonomy-history?taxnode_id=201853234","ICTVonline=201853234")</f>
        <v>ICTVonline=201853234</v>
      </c>
      <c r="AA4362" s="1">
        <v>201850000</v>
      </c>
      <c r="AB4362" s="1">
        <v>34</v>
      </c>
    </row>
    <row r="4363" spans="1:28" x14ac:dyDescent="0.15">
      <c r="A4363" s="1">
        <v>10968</v>
      </c>
      <c r="L4363" s="1" t="s">
        <v>2091</v>
      </c>
      <c r="N4363" s="1" t="s">
        <v>2092</v>
      </c>
      <c r="P4363" s="1" t="s">
        <v>7057</v>
      </c>
      <c r="Q4363" s="3">
        <v>0</v>
      </c>
      <c r="S4363" s="23" t="s">
        <v>5949</v>
      </c>
      <c r="T4363" s="23" t="s">
        <v>4929</v>
      </c>
      <c r="U4363" s="3">
        <v>34</v>
      </c>
      <c r="V4363" s="3" t="s">
        <v>7049</v>
      </c>
      <c r="W4363" s="45" t="str">
        <f>HYPERLINK("http://ictvonline.org/taxonomy/p/taxonomy-history?taxnode_id=201856700","ICTVonline=201856700")</f>
        <v>ICTVonline=201856700</v>
      </c>
      <c r="AA4363" s="1">
        <v>201850000</v>
      </c>
      <c r="AB4363" s="1">
        <v>34</v>
      </c>
    </row>
    <row r="4364" spans="1:28" x14ac:dyDescent="0.15">
      <c r="A4364" s="1">
        <v>10970</v>
      </c>
      <c r="L4364" s="1" t="s">
        <v>2091</v>
      </c>
      <c r="N4364" s="1" t="s">
        <v>2092</v>
      </c>
      <c r="P4364" s="1" t="s">
        <v>2397</v>
      </c>
      <c r="Q4364" s="3">
        <v>0</v>
      </c>
      <c r="S4364" s="23" t="s">
        <v>5949</v>
      </c>
      <c r="W4364" s="45" t="str">
        <f>HYPERLINK("http://ictvonline.org/taxonomy/p/taxonomy-history?taxnode_id=201853235","ICTVonline=201853235")</f>
        <v>ICTVonline=201853235</v>
      </c>
      <c r="AA4364" s="1">
        <v>201850000</v>
      </c>
      <c r="AB4364" s="1">
        <v>34</v>
      </c>
    </row>
    <row r="4365" spans="1:28" x14ac:dyDescent="0.15">
      <c r="A4365" s="1">
        <v>10972</v>
      </c>
      <c r="L4365" s="1" t="s">
        <v>2091</v>
      </c>
      <c r="N4365" s="1" t="s">
        <v>2092</v>
      </c>
      <c r="P4365" s="1" t="s">
        <v>5381</v>
      </c>
      <c r="Q4365" s="3">
        <v>0</v>
      </c>
      <c r="S4365" s="23" t="s">
        <v>5949</v>
      </c>
      <c r="W4365" s="45" t="str">
        <f>HYPERLINK("http://ictvonline.org/taxonomy/p/taxonomy-history?taxnode_id=201855797","ICTVonline=201855797")</f>
        <v>ICTVonline=201855797</v>
      </c>
      <c r="AA4365" s="1">
        <v>201850000</v>
      </c>
      <c r="AB4365" s="1">
        <v>34</v>
      </c>
    </row>
    <row r="4366" spans="1:28" x14ac:dyDescent="0.15">
      <c r="A4366" s="1">
        <v>10974</v>
      </c>
      <c r="L4366" s="1" t="s">
        <v>2091</v>
      </c>
      <c r="N4366" s="1" t="s">
        <v>2092</v>
      </c>
      <c r="P4366" s="1" t="s">
        <v>1502</v>
      </c>
      <c r="Q4366" s="3">
        <v>0</v>
      </c>
      <c r="S4366" s="23" t="s">
        <v>5949</v>
      </c>
      <c r="W4366" s="45" t="str">
        <f>HYPERLINK("http://ictvonline.org/taxonomy/p/taxonomy-history?taxnode_id=201853236","ICTVonline=201853236")</f>
        <v>ICTVonline=201853236</v>
      </c>
      <c r="AA4366" s="1">
        <v>201850000</v>
      </c>
      <c r="AB4366" s="1">
        <v>34</v>
      </c>
    </row>
    <row r="4367" spans="1:28" x14ac:dyDescent="0.15">
      <c r="A4367" s="1">
        <v>10976</v>
      </c>
      <c r="L4367" s="1" t="s">
        <v>2091</v>
      </c>
      <c r="N4367" s="1" t="s">
        <v>2092</v>
      </c>
      <c r="P4367" s="1" t="s">
        <v>5382</v>
      </c>
      <c r="Q4367" s="3">
        <v>0</v>
      </c>
      <c r="S4367" s="23" t="s">
        <v>5949</v>
      </c>
      <c r="W4367" s="45" t="str">
        <f>HYPERLINK("http://ictvonline.org/taxonomy/p/taxonomy-history?taxnode_id=201855798","ICTVonline=201855798")</f>
        <v>ICTVonline=201855798</v>
      </c>
      <c r="AA4367" s="1">
        <v>201850000</v>
      </c>
      <c r="AB4367" s="1">
        <v>34</v>
      </c>
    </row>
    <row r="4368" spans="1:28" x14ac:dyDescent="0.15">
      <c r="A4368" s="1">
        <v>10978</v>
      </c>
      <c r="L4368" s="1" t="s">
        <v>2091</v>
      </c>
      <c r="N4368" s="1" t="s">
        <v>2092</v>
      </c>
      <c r="P4368" s="1" t="s">
        <v>1503</v>
      </c>
      <c r="Q4368" s="3">
        <v>0</v>
      </c>
      <c r="S4368" s="23" t="s">
        <v>5949</v>
      </c>
      <c r="W4368" s="45" t="str">
        <f>HYPERLINK("http://ictvonline.org/taxonomy/p/taxonomy-history?taxnode_id=201853237","ICTVonline=201853237")</f>
        <v>ICTVonline=201853237</v>
      </c>
      <c r="AA4368" s="1">
        <v>201850000</v>
      </c>
      <c r="AB4368" s="1">
        <v>34</v>
      </c>
    </row>
    <row r="4369" spans="1:28" x14ac:dyDescent="0.15">
      <c r="A4369" s="1">
        <v>10980</v>
      </c>
      <c r="L4369" s="1" t="s">
        <v>2091</v>
      </c>
      <c r="N4369" s="1" t="s">
        <v>2092</v>
      </c>
      <c r="P4369" s="1" t="s">
        <v>1504</v>
      </c>
      <c r="Q4369" s="3">
        <v>0</v>
      </c>
      <c r="S4369" s="23" t="s">
        <v>5949</v>
      </c>
      <c r="W4369" s="45" t="str">
        <f>HYPERLINK("http://ictvonline.org/taxonomy/p/taxonomy-history?taxnode_id=201853238","ICTVonline=201853238")</f>
        <v>ICTVonline=201853238</v>
      </c>
      <c r="AA4369" s="1">
        <v>201850000</v>
      </c>
      <c r="AB4369" s="1">
        <v>34</v>
      </c>
    </row>
    <row r="4370" spans="1:28" x14ac:dyDescent="0.15">
      <c r="A4370" s="1">
        <v>10982</v>
      </c>
      <c r="L4370" s="1" t="s">
        <v>2091</v>
      </c>
      <c r="N4370" s="1" t="s">
        <v>2092</v>
      </c>
      <c r="P4370" s="1" t="s">
        <v>1505</v>
      </c>
      <c r="Q4370" s="3">
        <v>0</v>
      </c>
      <c r="S4370" s="23" t="s">
        <v>5949</v>
      </c>
      <c r="W4370" s="45" t="str">
        <f>HYPERLINK("http://ictvonline.org/taxonomy/p/taxonomy-history?taxnode_id=201853239","ICTVonline=201853239")</f>
        <v>ICTVonline=201853239</v>
      </c>
      <c r="AA4370" s="1">
        <v>201850000</v>
      </c>
      <c r="AB4370" s="1">
        <v>34</v>
      </c>
    </row>
    <row r="4371" spans="1:28" x14ac:dyDescent="0.15">
      <c r="A4371" s="1">
        <v>10984</v>
      </c>
      <c r="L4371" s="1" t="s">
        <v>2091</v>
      </c>
      <c r="N4371" s="1" t="s">
        <v>2092</v>
      </c>
      <c r="P4371" s="1" t="s">
        <v>5383</v>
      </c>
      <c r="Q4371" s="3">
        <v>0</v>
      </c>
      <c r="S4371" s="23" t="s">
        <v>5949</v>
      </c>
      <c r="W4371" s="45" t="str">
        <f>HYPERLINK("http://ictvonline.org/taxonomy/p/taxonomy-history?taxnode_id=201855799","ICTVonline=201855799")</f>
        <v>ICTVonline=201855799</v>
      </c>
      <c r="AA4371" s="1">
        <v>201850000</v>
      </c>
      <c r="AB4371" s="1">
        <v>34</v>
      </c>
    </row>
    <row r="4372" spans="1:28" x14ac:dyDescent="0.15">
      <c r="A4372" s="1">
        <v>10986</v>
      </c>
      <c r="L4372" s="1" t="s">
        <v>2091</v>
      </c>
      <c r="N4372" s="1" t="s">
        <v>2092</v>
      </c>
      <c r="P4372" s="1" t="s">
        <v>435</v>
      </c>
      <c r="Q4372" s="3">
        <v>0</v>
      </c>
      <c r="S4372" s="23" t="s">
        <v>5949</v>
      </c>
      <c r="W4372" s="45" t="str">
        <f>HYPERLINK("http://ictvonline.org/taxonomy/p/taxonomy-history?taxnode_id=201853240","ICTVonline=201853240")</f>
        <v>ICTVonline=201853240</v>
      </c>
      <c r="AA4372" s="1">
        <v>201850000</v>
      </c>
      <c r="AB4372" s="1">
        <v>34</v>
      </c>
    </row>
    <row r="4373" spans="1:28" x14ac:dyDescent="0.15">
      <c r="A4373" s="1">
        <v>10988</v>
      </c>
      <c r="L4373" s="1" t="s">
        <v>2091</v>
      </c>
      <c r="N4373" s="1" t="s">
        <v>2092</v>
      </c>
      <c r="P4373" s="1" t="s">
        <v>436</v>
      </c>
      <c r="Q4373" s="3">
        <v>0</v>
      </c>
      <c r="S4373" s="23" t="s">
        <v>5949</v>
      </c>
      <c r="W4373" s="45" t="str">
        <f>HYPERLINK("http://ictvonline.org/taxonomy/p/taxonomy-history?taxnode_id=201853241","ICTVonline=201853241")</f>
        <v>ICTVonline=201853241</v>
      </c>
      <c r="AA4373" s="1">
        <v>201850000</v>
      </c>
      <c r="AB4373" s="1">
        <v>34</v>
      </c>
    </row>
    <row r="4374" spans="1:28" x14ac:dyDescent="0.15">
      <c r="A4374" s="1">
        <v>10990</v>
      </c>
      <c r="L4374" s="1" t="s">
        <v>2091</v>
      </c>
      <c r="N4374" s="1" t="s">
        <v>2092</v>
      </c>
      <c r="P4374" s="1" t="s">
        <v>437</v>
      </c>
      <c r="Q4374" s="3">
        <v>0</v>
      </c>
      <c r="S4374" s="23" t="s">
        <v>5949</v>
      </c>
      <c r="W4374" s="45" t="str">
        <f>HYPERLINK("http://ictvonline.org/taxonomy/p/taxonomy-history?taxnode_id=201853242","ICTVonline=201853242")</f>
        <v>ICTVonline=201853242</v>
      </c>
      <c r="AA4374" s="1">
        <v>201850000</v>
      </c>
      <c r="AB4374" s="1">
        <v>34</v>
      </c>
    </row>
    <row r="4375" spans="1:28" x14ac:dyDescent="0.15">
      <c r="A4375" s="1">
        <v>10992</v>
      </c>
      <c r="L4375" s="1" t="s">
        <v>2091</v>
      </c>
      <c r="N4375" s="1" t="s">
        <v>2092</v>
      </c>
      <c r="P4375" s="1" t="s">
        <v>438</v>
      </c>
      <c r="Q4375" s="3">
        <v>0</v>
      </c>
      <c r="S4375" s="23" t="s">
        <v>5949</v>
      </c>
      <c r="W4375" s="45" t="str">
        <f>HYPERLINK("http://ictvonline.org/taxonomy/p/taxonomy-history?taxnode_id=201853243","ICTVonline=201853243")</f>
        <v>ICTVonline=201853243</v>
      </c>
      <c r="AA4375" s="1">
        <v>201850000</v>
      </c>
      <c r="AB4375" s="1">
        <v>34</v>
      </c>
    </row>
    <row r="4376" spans="1:28" x14ac:dyDescent="0.15">
      <c r="A4376" s="1">
        <v>10994</v>
      </c>
      <c r="L4376" s="1" t="s">
        <v>2091</v>
      </c>
      <c r="N4376" s="1" t="s">
        <v>2092</v>
      </c>
      <c r="P4376" s="1" t="s">
        <v>439</v>
      </c>
      <c r="Q4376" s="3">
        <v>0</v>
      </c>
      <c r="S4376" s="23" t="s">
        <v>5949</v>
      </c>
      <c r="W4376" s="45" t="str">
        <f>HYPERLINK("http://ictvonline.org/taxonomy/p/taxonomy-history?taxnode_id=201853244","ICTVonline=201853244")</f>
        <v>ICTVonline=201853244</v>
      </c>
      <c r="AA4376" s="1">
        <v>201850000</v>
      </c>
      <c r="AB4376" s="1">
        <v>34</v>
      </c>
    </row>
    <row r="4377" spans="1:28" x14ac:dyDescent="0.15">
      <c r="A4377" s="1">
        <v>10996</v>
      </c>
      <c r="L4377" s="1" t="s">
        <v>2091</v>
      </c>
      <c r="N4377" s="1" t="s">
        <v>2092</v>
      </c>
      <c r="P4377" s="1" t="s">
        <v>7058</v>
      </c>
      <c r="Q4377" s="3">
        <v>0</v>
      </c>
      <c r="S4377" s="23" t="s">
        <v>5949</v>
      </c>
      <c r="T4377" s="23" t="s">
        <v>4929</v>
      </c>
      <c r="U4377" s="3">
        <v>34</v>
      </c>
      <c r="V4377" s="3" t="s">
        <v>7049</v>
      </c>
      <c r="W4377" s="45" t="str">
        <f>HYPERLINK("http://ictvonline.org/taxonomy/p/taxonomy-history?taxnode_id=201856701","ICTVonline=201856701")</f>
        <v>ICTVonline=201856701</v>
      </c>
      <c r="AA4377" s="1">
        <v>201850000</v>
      </c>
      <c r="AB4377" s="1">
        <v>34</v>
      </c>
    </row>
    <row r="4378" spans="1:28" x14ac:dyDescent="0.15">
      <c r="A4378" s="1">
        <v>10998</v>
      </c>
      <c r="L4378" s="1" t="s">
        <v>2091</v>
      </c>
      <c r="N4378" s="1" t="s">
        <v>2092</v>
      </c>
      <c r="P4378" s="1" t="s">
        <v>7059</v>
      </c>
      <c r="Q4378" s="3">
        <v>0</v>
      </c>
      <c r="S4378" s="23" t="s">
        <v>5949</v>
      </c>
      <c r="T4378" s="23" t="s">
        <v>4929</v>
      </c>
      <c r="U4378" s="3">
        <v>34</v>
      </c>
      <c r="V4378" s="3" t="s">
        <v>7049</v>
      </c>
      <c r="W4378" s="45" t="str">
        <f>HYPERLINK("http://ictvonline.org/taxonomy/p/taxonomy-history?taxnode_id=201856702","ICTVonline=201856702")</f>
        <v>ICTVonline=201856702</v>
      </c>
      <c r="AA4378" s="1">
        <v>201850000</v>
      </c>
      <c r="AB4378" s="1">
        <v>34</v>
      </c>
    </row>
    <row r="4379" spans="1:28" x14ac:dyDescent="0.15">
      <c r="A4379" s="1">
        <v>11000</v>
      </c>
      <c r="L4379" s="1" t="s">
        <v>2091</v>
      </c>
      <c r="N4379" s="1" t="s">
        <v>2092</v>
      </c>
      <c r="P4379" s="1" t="s">
        <v>3783</v>
      </c>
      <c r="Q4379" s="3">
        <v>0</v>
      </c>
      <c r="S4379" s="23" t="s">
        <v>5949</v>
      </c>
      <c r="W4379" s="45" t="str">
        <f>HYPERLINK("http://ictvonline.org/taxonomy/p/taxonomy-history?taxnode_id=201853245","ICTVonline=201853245")</f>
        <v>ICTVonline=201853245</v>
      </c>
      <c r="AA4379" s="1">
        <v>201850000</v>
      </c>
      <c r="AB4379" s="1">
        <v>34</v>
      </c>
    </row>
    <row r="4380" spans="1:28" x14ac:dyDescent="0.15">
      <c r="A4380" s="1">
        <v>11002</v>
      </c>
      <c r="L4380" s="1" t="s">
        <v>2091</v>
      </c>
      <c r="N4380" s="1" t="s">
        <v>2092</v>
      </c>
      <c r="P4380" s="1" t="s">
        <v>440</v>
      </c>
      <c r="Q4380" s="3">
        <v>0</v>
      </c>
      <c r="S4380" s="23" t="s">
        <v>5949</v>
      </c>
      <c r="W4380" s="45" t="str">
        <f>HYPERLINK("http://ictvonline.org/taxonomy/p/taxonomy-history?taxnode_id=201853246","ICTVonline=201853246")</f>
        <v>ICTVonline=201853246</v>
      </c>
      <c r="AA4380" s="1">
        <v>201850000</v>
      </c>
      <c r="AB4380" s="1">
        <v>34</v>
      </c>
    </row>
    <row r="4381" spans="1:28" x14ac:dyDescent="0.15">
      <c r="A4381" s="1">
        <v>11004</v>
      </c>
      <c r="L4381" s="1" t="s">
        <v>2091</v>
      </c>
      <c r="N4381" s="1" t="s">
        <v>2092</v>
      </c>
      <c r="P4381" s="1" t="s">
        <v>296</v>
      </c>
      <c r="Q4381" s="3">
        <v>0</v>
      </c>
      <c r="S4381" s="23" t="s">
        <v>5949</v>
      </c>
      <c r="W4381" s="45" t="str">
        <f>HYPERLINK("http://ictvonline.org/taxonomy/p/taxonomy-history?taxnode_id=201853247","ICTVonline=201853247")</f>
        <v>ICTVonline=201853247</v>
      </c>
      <c r="AA4381" s="1">
        <v>201850000</v>
      </c>
      <c r="AB4381" s="1">
        <v>34</v>
      </c>
    </row>
    <row r="4382" spans="1:28" x14ac:dyDescent="0.15">
      <c r="A4382" s="1">
        <v>11006</v>
      </c>
      <c r="L4382" s="1" t="s">
        <v>2091</v>
      </c>
      <c r="N4382" s="1" t="s">
        <v>2092</v>
      </c>
      <c r="P4382" s="1" t="s">
        <v>430</v>
      </c>
      <c r="Q4382" s="3">
        <v>0</v>
      </c>
      <c r="S4382" s="23" t="s">
        <v>5949</v>
      </c>
      <c r="W4382" s="45" t="str">
        <f>HYPERLINK("http://ictvonline.org/taxonomy/p/taxonomy-history?taxnode_id=201853248","ICTVonline=201853248")</f>
        <v>ICTVonline=201853248</v>
      </c>
      <c r="AA4382" s="1">
        <v>201850000</v>
      </c>
      <c r="AB4382" s="1">
        <v>34</v>
      </c>
    </row>
    <row r="4383" spans="1:28" x14ac:dyDescent="0.15">
      <c r="A4383" s="1">
        <v>11008</v>
      </c>
      <c r="L4383" s="1" t="s">
        <v>2091</v>
      </c>
      <c r="N4383" s="1" t="s">
        <v>2092</v>
      </c>
      <c r="P4383" s="1" t="s">
        <v>299</v>
      </c>
      <c r="Q4383" s="3">
        <v>0</v>
      </c>
      <c r="S4383" s="23" t="s">
        <v>5949</v>
      </c>
      <c r="W4383" s="45" t="str">
        <f>HYPERLINK("http://ictvonline.org/taxonomy/p/taxonomy-history?taxnode_id=201853249","ICTVonline=201853249")</f>
        <v>ICTVonline=201853249</v>
      </c>
      <c r="AA4383" s="1">
        <v>201850000</v>
      </c>
      <c r="AB4383" s="1">
        <v>34</v>
      </c>
    </row>
    <row r="4384" spans="1:28" x14ac:dyDescent="0.15">
      <c r="A4384" s="1">
        <v>11010</v>
      </c>
      <c r="L4384" s="1" t="s">
        <v>2091</v>
      </c>
      <c r="N4384" s="1" t="s">
        <v>2092</v>
      </c>
      <c r="P4384" s="1" t="s">
        <v>300</v>
      </c>
      <c r="Q4384" s="3">
        <v>0</v>
      </c>
      <c r="S4384" s="23" t="s">
        <v>5949</v>
      </c>
      <c r="W4384" s="45" t="str">
        <f>HYPERLINK("http://ictvonline.org/taxonomy/p/taxonomy-history?taxnode_id=201853250","ICTVonline=201853250")</f>
        <v>ICTVonline=201853250</v>
      </c>
      <c r="AA4384" s="1">
        <v>201850000</v>
      </c>
      <c r="AB4384" s="1">
        <v>34</v>
      </c>
    </row>
    <row r="4385" spans="1:28" x14ac:dyDescent="0.15">
      <c r="A4385" s="1">
        <v>11012</v>
      </c>
      <c r="L4385" s="1" t="s">
        <v>2091</v>
      </c>
      <c r="N4385" s="1" t="s">
        <v>2092</v>
      </c>
      <c r="P4385" s="1" t="s">
        <v>5384</v>
      </c>
      <c r="Q4385" s="3">
        <v>0</v>
      </c>
      <c r="S4385" s="23" t="s">
        <v>5949</v>
      </c>
      <c r="W4385" s="45" t="str">
        <f>HYPERLINK("http://ictvonline.org/taxonomy/p/taxonomy-history?taxnode_id=201855800","ICTVonline=201855800")</f>
        <v>ICTVonline=201855800</v>
      </c>
      <c r="AA4385" s="1">
        <v>201850000</v>
      </c>
      <c r="AB4385" s="1">
        <v>34</v>
      </c>
    </row>
    <row r="4386" spans="1:28" x14ac:dyDescent="0.15">
      <c r="A4386" s="1">
        <v>11014</v>
      </c>
      <c r="L4386" s="1" t="s">
        <v>2091</v>
      </c>
      <c r="N4386" s="1" t="s">
        <v>2092</v>
      </c>
      <c r="P4386" s="1" t="s">
        <v>301</v>
      </c>
      <c r="Q4386" s="3">
        <v>0</v>
      </c>
      <c r="S4386" s="23" t="s">
        <v>5949</v>
      </c>
      <c r="W4386" s="45" t="str">
        <f>HYPERLINK("http://ictvonline.org/taxonomy/p/taxonomy-history?taxnode_id=201853251","ICTVonline=201853251")</f>
        <v>ICTVonline=201853251</v>
      </c>
      <c r="AA4386" s="1">
        <v>201850000</v>
      </c>
      <c r="AB4386" s="1">
        <v>34</v>
      </c>
    </row>
    <row r="4387" spans="1:28" x14ac:dyDescent="0.15">
      <c r="A4387" s="1">
        <v>11016</v>
      </c>
      <c r="L4387" s="1" t="s">
        <v>2091</v>
      </c>
      <c r="N4387" s="1" t="s">
        <v>2092</v>
      </c>
      <c r="P4387" s="1" t="s">
        <v>5385</v>
      </c>
      <c r="Q4387" s="3">
        <v>0</v>
      </c>
      <c r="S4387" s="23" t="s">
        <v>5949</v>
      </c>
      <c r="W4387" s="45" t="str">
        <f>HYPERLINK("http://ictvonline.org/taxonomy/p/taxonomy-history?taxnode_id=201855801","ICTVonline=201855801")</f>
        <v>ICTVonline=201855801</v>
      </c>
      <c r="AA4387" s="1">
        <v>201850000</v>
      </c>
      <c r="AB4387" s="1">
        <v>34</v>
      </c>
    </row>
    <row r="4388" spans="1:28" x14ac:dyDescent="0.15">
      <c r="A4388" s="1">
        <v>11018</v>
      </c>
      <c r="L4388" s="1" t="s">
        <v>2091</v>
      </c>
      <c r="N4388" s="1" t="s">
        <v>2092</v>
      </c>
      <c r="P4388" s="1" t="s">
        <v>2398</v>
      </c>
      <c r="Q4388" s="3">
        <v>0</v>
      </c>
      <c r="S4388" s="23" t="s">
        <v>5949</v>
      </c>
      <c r="W4388" s="45" t="str">
        <f>HYPERLINK("http://ictvonline.org/taxonomy/p/taxonomy-history?taxnode_id=201853252","ICTVonline=201853252")</f>
        <v>ICTVonline=201853252</v>
      </c>
      <c r="AA4388" s="1">
        <v>201850000</v>
      </c>
      <c r="AB4388" s="1">
        <v>34</v>
      </c>
    </row>
    <row r="4389" spans="1:28" x14ac:dyDescent="0.15">
      <c r="A4389" s="1">
        <v>11020</v>
      </c>
      <c r="L4389" s="1" t="s">
        <v>2091</v>
      </c>
      <c r="N4389" s="1" t="s">
        <v>2092</v>
      </c>
      <c r="P4389" s="1" t="s">
        <v>3784</v>
      </c>
      <c r="Q4389" s="3">
        <v>0</v>
      </c>
      <c r="S4389" s="23" t="s">
        <v>5949</v>
      </c>
      <c r="W4389" s="45" t="str">
        <f>HYPERLINK("http://ictvonline.org/taxonomy/p/taxonomy-history?taxnode_id=201853253","ICTVonline=201853253")</f>
        <v>ICTVonline=201853253</v>
      </c>
      <c r="AA4389" s="1">
        <v>201850000</v>
      </c>
      <c r="AB4389" s="1">
        <v>34</v>
      </c>
    </row>
    <row r="4390" spans="1:28" x14ac:dyDescent="0.15">
      <c r="A4390" s="1">
        <v>11022</v>
      </c>
      <c r="L4390" s="1" t="s">
        <v>2091</v>
      </c>
      <c r="N4390" s="1" t="s">
        <v>2092</v>
      </c>
      <c r="P4390" s="1" t="s">
        <v>3785</v>
      </c>
      <c r="Q4390" s="3">
        <v>0</v>
      </c>
      <c r="S4390" s="23" t="s">
        <v>5949</v>
      </c>
      <c r="W4390" s="45" t="str">
        <f>HYPERLINK("http://ictvonline.org/taxonomy/p/taxonomy-history?taxnode_id=201853254","ICTVonline=201853254")</f>
        <v>ICTVonline=201853254</v>
      </c>
      <c r="AA4390" s="1">
        <v>201850000</v>
      </c>
      <c r="AB4390" s="1">
        <v>34</v>
      </c>
    </row>
    <row r="4391" spans="1:28" x14ac:dyDescent="0.15">
      <c r="A4391" s="1">
        <v>11024</v>
      </c>
      <c r="L4391" s="1" t="s">
        <v>2091</v>
      </c>
      <c r="N4391" s="1" t="s">
        <v>2092</v>
      </c>
      <c r="P4391" s="1" t="s">
        <v>3786</v>
      </c>
      <c r="Q4391" s="3">
        <v>0</v>
      </c>
      <c r="S4391" s="23" t="s">
        <v>5949</v>
      </c>
      <c r="W4391" s="45" t="str">
        <f>HYPERLINK("http://ictvonline.org/taxonomy/p/taxonomy-history?taxnode_id=201853255","ICTVonline=201853255")</f>
        <v>ICTVonline=201853255</v>
      </c>
      <c r="AA4391" s="1">
        <v>201850000</v>
      </c>
      <c r="AB4391" s="1">
        <v>34</v>
      </c>
    </row>
    <row r="4392" spans="1:28" x14ac:dyDescent="0.15">
      <c r="A4392" s="1">
        <v>11026</v>
      </c>
      <c r="L4392" s="1" t="s">
        <v>2091</v>
      </c>
      <c r="N4392" s="1" t="s">
        <v>2092</v>
      </c>
      <c r="P4392" s="1" t="s">
        <v>2399</v>
      </c>
      <c r="Q4392" s="3">
        <v>0</v>
      </c>
      <c r="S4392" s="23" t="s">
        <v>5949</v>
      </c>
      <c r="W4392" s="45" t="str">
        <f>HYPERLINK("http://ictvonline.org/taxonomy/p/taxonomy-history?taxnode_id=201853256","ICTVonline=201853256")</f>
        <v>ICTVonline=201853256</v>
      </c>
      <c r="AA4392" s="1">
        <v>201850000</v>
      </c>
      <c r="AB4392" s="1">
        <v>34</v>
      </c>
    </row>
    <row r="4393" spans="1:28" x14ac:dyDescent="0.15">
      <c r="A4393" s="1">
        <v>11028</v>
      </c>
      <c r="L4393" s="1" t="s">
        <v>2091</v>
      </c>
      <c r="N4393" s="1" t="s">
        <v>2092</v>
      </c>
      <c r="P4393" s="1" t="s">
        <v>5386</v>
      </c>
      <c r="Q4393" s="3">
        <v>0</v>
      </c>
      <c r="S4393" s="23" t="s">
        <v>5949</v>
      </c>
      <c r="W4393" s="45" t="str">
        <f>HYPERLINK("http://ictvonline.org/taxonomy/p/taxonomy-history?taxnode_id=201855802","ICTVonline=201855802")</f>
        <v>ICTVonline=201855802</v>
      </c>
      <c r="AA4393" s="1">
        <v>201850000</v>
      </c>
      <c r="AB4393" s="1">
        <v>34</v>
      </c>
    </row>
    <row r="4394" spans="1:28" x14ac:dyDescent="0.15">
      <c r="A4394" s="1">
        <v>11030</v>
      </c>
      <c r="L4394" s="1" t="s">
        <v>2091</v>
      </c>
      <c r="N4394" s="1" t="s">
        <v>2092</v>
      </c>
      <c r="P4394" s="1" t="s">
        <v>1690</v>
      </c>
      <c r="Q4394" s="3">
        <v>0</v>
      </c>
      <c r="S4394" s="23" t="s">
        <v>5949</v>
      </c>
      <c r="W4394" s="45" t="str">
        <f>HYPERLINK("http://ictvonline.org/taxonomy/p/taxonomy-history?taxnode_id=201853258","ICTVonline=201853258")</f>
        <v>ICTVonline=201853258</v>
      </c>
      <c r="AA4394" s="1">
        <v>201850000</v>
      </c>
      <c r="AB4394" s="1">
        <v>34</v>
      </c>
    </row>
    <row r="4395" spans="1:28" x14ac:dyDescent="0.15">
      <c r="A4395" s="1">
        <v>11032</v>
      </c>
      <c r="L4395" s="1" t="s">
        <v>2091</v>
      </c>
      <c r="N4395" s="1" t="s">
        <v>2092</v>
      </c>
      <c r="P4395" s="1" t="s">
        <v>1173</v>
      </c>
      <c r="Q4395" s="3">
        <v>0</v>
      </c>
      <c r="S4395" s="23" t="s">
        <v>5949</v>
      </c>
      <c r="W4395" s="45" t="str">
        <f>HYPERLINK("http://ictvonline.org/taxonomy/p/taxonomy-history?taxnode_id=201853259","ICTVonline=201853259")</f>
        <v>ICTVonline=201853259</v>
      </c>
      <c r="AA4395" s="1">
        <v>201850000</v>
      </c>
      <c r="AB4395" s="1">
        <v>34</v>
      </c>
    </row>
    <row r="4396" spans="1:28" x14ac:dyDescent="0.15">
      <c r="A4396" s="1">
        <v>11034</v>
      </c>
      <c r="L4396" s="1" t="s">
        <v>2091</v>
      </c>
      <c r="N4396" s="1" t="s">
        <v>2092</v>
      </c>
      <c r="P4396" s="1" t="s">
        <v>1174</v>
      </c>
      <c r="Q4396" s="3">
        <v>0</v>
      </c>
      <c r="S4396" s="23" t="s">
        <v>5949</v>
      </c>
      <c r="W4396" s="45" t="str">
        <f>HYPERLINK("http://ictvonline.org/taxonomy/p/taxonomy-history?taxnode_id=201853260","ICTVonline=201853260")</f>
        <v>ICTVonline=201853260</v>
      </c>
      <c r="AA4396" s="1">
        <v>201850000</v>
      </c>
      <c r="AB4396" s="1">
        <v>34</v>
      </c>
    </row>
    <row r="4397" spans="1:28" x14ac:dyDescent="0.15">
      <c r="A4397" s="1">
        <v>11036</v>
      </c>
      <c r="L4397" s="1" t="s">
        <v>2091</v>
      </c>
      <c r="N4397" s="1" t="s">
        <v>2092</v>
      </c>
      <c r="P4397" s="1" t="s">
        <v>2400</v>
      </c>
      <c r="Q4397" s="3">
        <v>0</v>
      </c>
      <c r="S4397" s="23" t="s">
        <v>5949</v>
      </c>
      <c r="W4397" s="45" t="str">
        <f>HYPERLINK("http://ictvonline.org/taxonomy/p/taxonomy-history?taxnode_id=201853261","ICTVonline=201853261")</f>
        <v>ICTVonline=201853261</v>
      </c>
      <c r="AA4397" s="1">
        <v>201850000</v>
      </c>
      <c r="AB4397" s="1">
        <v>34</v>
      </c>
    </row>
    <row r="4398" spans="1:28" x14ac:dyDescent="0.15">
      <c r="A4398" s="1">
        <v>11038</v>
      </c>
      <c r="L4398" s="1" t="s">
        <v>2091</v>
      </c>
      <c r="N4398" s="1" t="s">
        <v>2092</v>
      </c>
      <c r="P4398" s="1" t="s">
        <v>5387</v>
      </c>
      <c r="Q4398" s="3">
        <v>0</v>
      </c>
      <c r="S4398" s="23" t="s">
        <v>5949</v>
      </c>
      <c r="W4398" s="45" t="str">
        <f>HYPERLINK("http://ictvonline.org/taxonomy/p/taxonomy-history?taxnode_id=201855803","ICTVonline=201855803")</f>
        <v>ICTVonline=201855803</v>
      </c>
      <c r="AA4398" s="1">
        <v>201850000</v>
      </c>
      <c r="AB4398" s="1">
        <v>34</v>
      </c>
    </row>
    <row r="4399" spans="1:28" x14ac:dyDescent="0.15">
      <c r="A4399" s="1">
        <v>11040</v>
      </c>
      <c r="L4399" s="1" t="s">
        <v>2091</v>
      </c>
      <c r="N4399" s="1" t="s">
        <v>2092</v>
      </c>
      <c r="P4399" s="1" t="s">
        <v>7060</v>
      </c>
      <c r="Q4399" s="3">
        <v>0</v>
      </c>
      <c r="S4399" s="23" t="s">
        <v>5949</v>
      </c>
      <c r="T4399" s="23" t="s">
        <v>4929</v>
      </c>
      <c r="U4399" s="3">
        <v>34</v>
      </c>
      <c r="V4399" s="3" t="s">
        <v>7049</v>
      </c>
      <c r="W4399" s="45" t="str">
        <f>HYPERLINK("http://ictvonline.org/taxonomy/p/taxonomy-history?taxnode_id=201856704","ICTVonline=201856704")</f>
        <v>ICTVonline=201856704</v>
      </c>
      <c r="AA4399" s="1">
        <v>201850000</v>
      </c>
      <c r="AB4399" s="1">
        <v>34</v>
      </c>
    </row>
    <row r="4400" spans="1:28" x14ac:dyDescent="0.15">
      <c r="A4400" s="1">
        <v>11042</v>
      </c>
      <c r="L4400" s="1" t="s">
        <v>2091</v>
      </c>
      <c r="N4400" s="1" t="s">
        <v>2092</v>
      </c>
      <c r="P4400" s="1" t="s">
        <v>5388</v>
      </c>
      <c r="Q4400" s="3">
        <v>0</v>
      </c>
      <c r="S4400" s="23" t="s">
        <v>5949</v>
      </c>
      <c r="W4400" s="45" t="str">
        <f>HYPERLINK("http://ictvonline.org/taxonomy/p/taxonomy-history?taxnode_id=201855804","ICTVonline=201855804")</f>
        <v>ICTVonline=201855804</v>
      </c>
      <c r="AA4400" s="1">
        <v>201850000</v>
      </c>
      <c r="AB4400" s="1">
        <v>34</v>
      </c>
    </row>
    <row r="4401" spans="1:28" x14ac:dyDescent="0.15">
      <c r="A4401" s="1">
        <v>11044</v>
      </c>
      <c r="L4401" s="1" t="s">
        <v>2091</v>
      </c>
      <c r="N4401" s="1" t="s">
        <v>2092</v>
      </c>
      <c r="P4401" s="1" t="s">
        <v>3787</v>
      </c>
      <c r="Q4401" s="3">
        <v>0</v>
      </c>
      <c r="S4401" s="23" t="s">
        <v>5949</v>
      </c>
      <c r="W4401" s="45" t="str">
        <f>HYPERLINK("http://ictvonline.org/taxonomy/p/taxonomy-history?taxnode_id=201853262","ICTVonline=201853262")</f>
        <v>ICTVonline=201853262</v>
      </c>
      <c r="AA4401" s="1">
        <v>201850000</v>
      </c>
      <c r="AB4401" s="1">
        <v>34</v>
      </c>
    </row>
    <row r="4402" spans="1:28" x14ac:dyDescent="0.15">
      <c r="A4402" s="1">
        <v>11046</v>
      </c>
      <c r="L4402" s="1" t="s">
        <v>2091</v>
      </c>
      <c r="N4402" s="1" t="s">
        <v>2092</v>
      </c>
      <c r="P4402" s="1" t="s">
        <v>5389</v>
      </c>
      <c r="Q4402" s="3">
        <v>0</v>
      </c>
      <c r="S4402" s="23" t="s">
        <v>5949</v>
      </c>
      <c r="W4402" s="45" t="str">
        <f>HYPERLINK("http://ictvonline.org/taxonomy/p/taxonomy-history?taxnode_id=201855805","ICTVonline=201855805")</f>
        <v>ICTVonline=201855805</v>
      </c>
      <c r="AA4402" s="1">
        <v>201850000</v>
      </c>
      <c r="AB4402" s="1">
        <v>34</v>
      </c>
    </row>
    <row r="4403" spans="1:28" x14ac:dyDescent="0.15">
      <c r="A4403" s="1">
        <v>11048</v>
      </c>
      <c r="L4403" s="1" t="s">
        <v>2091</v>
      </c>
      <c r="N4403" s="1" t="s">
        <v>2092</v>
      </c>
      <c r="P4403" s="1" t="s">
        <v>2401</v>
      </c>
      <c r="Q4403" s="3">
        <v>0</v>
      </c>
      <c r="S4403" s="23" t="s">
        <v>5949</v>
      </c>
      <c r="W4403" s="45" t="str">
        <f>HYPERLINK("http://ictvonline.org/taxonomy/p/taxonomy-history?taxnode_id=201853263","ICTVonline=201853263")</f>
        <v>ICTVonline=201853263</v>
      </c>
      <c r="AA4403" s="1">
        <v>201850000</v>
      </c>
      <c r="AB4403" s="1">
        <v>34</v>
      </c>
    </row>
    <row r="4404" spans="1:28" x14ac:dyDescent="0.15">
      <c r="A4404" s="1">
        <v>11050</v>
      </c>
      <c r="L4404" s="1" t="s">
        <v>2091</v>
      </c>
      <c r="N4404" s="1" t="s">
        <v>2092</v>
      </c>
      <c r="P4404" s="1" t="s">
        <v>3788</v>
      </c>
      <c r="Q4404" s="3">
        <v>0</v>
      </c>
      <c r="S4404" s="23" t="s">
        <v>5949</v>
      </c>
      <c r="W4404" s="45" t="str">
        <f>HYPERLINK("http://ictvonline.org/taxonomy/p/taxonomy-history?taxnode_id=201853264","ICTVonline=201853264")</f>
        <v>ICTVonline=201853264</v>
      </c>
      <c r="AA4404" s="1">
        <v>201850000</v>
      </c>
      <c r="AB4404" s="1">
        <v>34</v>
      </c>
    </row>
    <row r="4405" spans="1:28" x14ac:dyDescent="0.15">
      <c r="A4405" s="1">
        <v>11052</v>
      </c>
      <c r="L4405" s="1" t="s">
        <v>2091</v>
      </c>
      <c r="N4405" s="1" t="s">
        <v>2092</v>
      </c>
      <c r="P4405" s="1" t="s">
        <v>3789</v>
      </c>
      <c r="Q4405" s="3">
        <v>0</v>
      </c>
      <c r="S4405" s="23" t="s">
        <v>5949</v>
      </c>
      <c r="W4405" s="45" t="str">
        <f>HYPERLINK("http://ictvonline.org/taxonomy/p/taxonomy-history?taxnode_id=201853265","ICTVonline=201853265")</f>
        <v>ICTVonline=201853265</v>
      </c>
      <c r="AA4405" s="1">
        <v>201850000</v>
      </c>
      <c r="AB4405" s="1">
        <v>34</v>
      </c>
    </row>
    <row r="4406" spans="1:28" x14ac:dyDescent="0.15">
      <c r="A4406" s="1">
        <v>11054</v>
      </c>
      <c r="L4406" s="1" t="s">
        <v>2091</v>
      </c>
      <c r="N4406" s="1" t="s">
        <v>2092</v>
      </c>
      <c r="P4406" s="1" t="s">
        <v>3790</v>
      </c>
      <c r="Q4406" s="3">
        <v>0</v>
      </c>
      <c r="S4406" s="23" t="s">
        <v>5949</v>
      </c>
      <c r="W4406" s="45" t="str">
        <f>HYPERLINK("http://ictvonline.org/taxonomy/p/taxonomy-history?taxnode_id=201853266","ICTVonline=201853266")</f>
        <v>ICTVonline=201853266</v>
      </c>
      <c r="AA4406" s="1">
        <v>201850000</v>
      </c>
      <c r="AB4406" s="1">
        <v>34</v>
      </c>
    </row>
    <row r="4407" spans="1:28" x14ac:dyDescent="0.15">
      <c r="A4407" s="1">
        <v>11056</v>
      </c>
      <c r="L4407" s="1" t="s">
        <v>2091</v>
      </c>
      <c r="N4407" s="1" t="s">
        <v>2092</v>
      </c>
      <c r="P4407" s="1" t="s">
        <v>1175</v>
      </c>
      <c r="Q4407" s="3">
        <v>0</v>
      </c>
      <c r="S4407" s="23" t="s">
        <v>5949</v>
      </c>
      <c r="W4407" s="45" t="str">
        <f>HYPERLINK("http://ictvonline.org/taxonomy/p/taxonomy-history?taxnode_id=201853267","ICTVonline=201853267")</f>
        <v>ICTVonline=201853267</v>
      </c>
      <c r="AA4407" s="1">
        <v>201850000</v>
      </c>
      <c r="AB4407" s="1">
        <v>34</v>
      </c>
    </row>
    <row r="4408" spans="1:28" x14ac:dyDescent="0.15">
      <c r="A4408" s="1">
        <v>11058</v>
      </c>
      <c r="L4408" s="1" t="s">
        <v>2091</v>
      </c>
      <c r="N4408" s="1" t="s">
        <v>2092</v>
      </c>
      <c r="P4408" s="1" t="s">
        <v>2402</v>
      </c>
      <c r="Q4408" s="3">
        <v>0</v>
      </c>
      <c r="S4408" s="23" t="s">
        <v>5949</v>
      </c>
      <c r="W4408" s="45" t="str">
        <f>HYPERLINK("http://ictvonline.org/taxonomy/p/taxonomy-history?taxnode_id=201853268","ICTVonline=201853268")</f>
        <v>ICTVonline=201853268</v>
      </c>
      <c r="AA4408" s="1">
        <v>201850000</v>
      </c>
      <c r="AB4408" s="1">
        <v>34</v>
      </c>
    </row>
    <row r="4409" spans="1:28" x14ac:dyDescent="0.15">
      <c r="A4409" s="1">
        <v>11060</v>
      </c>
      <c r="L4409" s="1" t="s">
        <v>2091</v>
      </c>
      <c r="N4409" s="1" t="s">
        <v>2092</v>
      </c>
      <c r="P4409" s="1" t="s">
        <v>1176</v>
      </c>
      <c r="Q4409" s="3">
        <v>0</v>
      </c>
      <c r="S4409" s="23" t="s">
        <v>5949</v>
      </c>
      <c r="W4409" s="45" t="str">
        <f>HYPERLINK("http://ictvonline.org/taxonomy/p/taxonomy-history?taxnode_id=201853269","ICTVonline=201853269")</f>
        <v>ICTVonline=201853269</v>
      </c>
      <c r="AA4409" s="1">
        <v>201850000</v>
      </c>
      <c r="AB4409" s="1">
        <v>34</v>
      </c>
    </row>
    <row r="4410" spans="1:28" x14ac:dyDescent="0.15">
      <c r="A4410" s="1">
        <v>11062</v>
      </c>
      <c r="L4410" s="1" t="s">
        <v>2091</v>
      </c>
      <c r="N4410" s="1" t="s">
        <v>2092</v>
      </c>
      <c r="P4410" s="1" t="s">
        <v>5390</v>
      </c>
      <c r="Q4410" s="3">
        <v>0</v>
      </c>
      <c r="S4410" s="23" t="s">
        <v>5949</v>
      </c>
      <c r="W4410" s="45" t="str">
        <f>HYPERLINK("http://ictvonline.org/taxonomy/p/taxonomy-history?taxnode_id=201855806","ICTVonline=201855806")</f>
        <v>ICTVonline=201855806</v>
      </c>
      <c r="AA4410" s="1">
        <v>201850000</v>
      </c>
      <c r="AB4410" s="1">
        <v>34</v>
      </c>
    </row>
    <row r="4411" spans="1:28" x14ac:dyDescent="0.15">
      <c r="A4411" s="1">
        <v>11064</v>
      </c>
      <c r="L4411" s="1" t="s">
        <v>2091</v>
      </c>
      <c r="N4411" s="1" t="s">
        <v>2092</v>
      </c>
      <c r="P4411" s="1" t="s">
        <v>1193</v>
      </c>
      <c r="Q4411" s="3">
        <v>0</v>
      </c>
      <c r="S4411" s="23" t="s">
        <v>5949</v>
      </c>
      <c r="W4411" s="45" t="str">
        <f>HYPERLINK("http://ictvonline.org/taxonomy/p/taxonomy-history?taxnode_id=201853270","ICTVonline=201853270")</f>
        <v>ICTVonline=201853270</v>
      </c>
      <c r="AA4411" s="1">
        <v>201850000</v>
      </c>
      <c r="AB4411" s="1">
        <v>34</v>
      </c>
    </row>
    <row r="4412" spans="1:28" x14ac:dyDescent="0.15">
      <c r="A4412" s="1">
        <v>11066</v>
      </c>
      <c r="L4412" s="1" t="s">
        <v>2091</v>
      </c>
      <c r="N4412" s="1" t="s">
        <v>2092</v>
      </c>
      <c r="P4412" s="1" t="s">
        <v>1194</v>
      </c>
      <c r="Q4412" s="3">
        <v>0</v>
      </c>
      <c r="S4412" s="23" t="s">
        <v>5949</v>
      </c>
      <c r="W4412" s="45" t="str">
        <f>HYPERLINK("http://ictvonline.org/taxonomy/p/taxonomy-history?taxnode_id=201853271","ICTVonline=201853271")</f>
        <v>ICTVonline=201853271</v>
      </c>
      <c r="AA4412" s="1">
        <v>201850000</v>
      </c>
      <c r="AB4412" s="1">
        <v>34</v>
      </c>
    </row>
    <row r="4413" spans="1:28" x14ac:dyDescent="0.15">
      <c r="A4413" s="1">
        <v>11068</v>
      </c>
      <c r="L4413" s="1" t="s">
        <v>2091</v>
      </c>
      <c r="N4413" s="1" t="s">
        <v>2092</v>
      </c>
      <c r="P4413" s="1" t="s">
        <v>1195</v>
      </c>
      <c r="Q4413" s="3">
        <v>0</v>
      </c>
      <c r="S4413" s="23" t="s">
        <v>5949</v>
      </c>
      <c r="W4413" s="45" t="str">
        <f>HYPERLINK("http://ictvonline.org/taxonomy/p/taxonomy-history?taxnode_id=201853272","ICTVonline=201853272")</f>
        <v>ICTVonline=201853272</v>
      </c>
      <c r="AA4413" s="1">
        <v>201850000</v>
      </c>
      <c r="AB4413" s="1">
        <v>34</v>
      </c>
    </row>
    <row r="4414" spans="1:28" x14ac:dyDescent="0.15">
      <c r="A4414" s="1">
        <v>11070</v>
      </c>
      <c r="L4414" s="1" t="s">
        <v>2091</v>
      </c>
      <c r="N4414" s="1" t="s">
        <v>2092</v>
      </c>
      <c r="P4414" s="1" t="s">
        <v>5391</v>
      </c>
      <c r="Q4414" s="3">
        <v>0</v>
      </c>
      <c r="S4414" s="23" t="s">
        <v>5949</v>
      </c>
      <c r="W4414" s="45" t="str">
        <f>HYPERLINK("http://ictvonline.org/taxonomy/p/taxonomy-history?taxnode_id=201855807","ICTVonline=201855807")</f>
        <v>ICTVonline=201855807</v>
      </c>
      <c r="AA4414" s="1">
        <v>201850000</v>
      </c>
      <c r="AB4414" s="1">
        <v>34</v>
      </c>
    </row>
    <row r="4415" spans="1:28" x14ac:dyDescent="0.15">
      <c r="A4415" s="1">
        <v>11072</v>
      </c>
      <c r="L4415" s="1" t="s">
        <v>2091</v>
      </c>
      <c r="N4415" s="1" t="s">
        <v>2092</v>
      </c>
      <c r="P4415" s="1" t="s">
        <v>5392</v>
      </c>
      <c r="Q4415" s="3">
        <v>0</v>
      </c>
      <c r="S4415" s="23" t="s">
        <v>5949</v>
      </c>
      <c r="W4415" s="45" t="str">
        <f>HYPERLINK("http://ictvonline.org/taxonomy/p/taxonomy-history?taxnode_id=201855808","ICTVonline=201855808")</f>
        <v>ICTVonline=201855808</v>
      </c>
      <c r="AA4415" s="1">
        <v>201850000</v>
      </c>
      <c r="AB4415" s="1">
        <v>34</v>
      </c>
    </row>
    <row r="4416" spans="1:28" x14ac:dyDescent="0.15">
      <c r="A4416" s="1">
        <v>11074</v>
      </c>
      <c r="L4416" s="1" t="s">
        <v>2091</v>
      </c>
      <c r="N4416" s="1" t="s">
        <v>2092</v>
      </c>
      <c r="P4416" s="1" t="s">
        <v>5393</v>
      </c>
      <c r="Q4416" s="3">
        <v>0</v>
      </c>
      <c r="S4416" s="23" t="s">
        <v>5949</v>
      </c>
      <c r="W4416" s="45" t="str">
        <f>HYPERLINK("http://ictvonline.org/taxonomy/p/taxonomy-history?taxnode_id=201855809","ICTVonline=201855809")</f>
        <v>ICTVonline=201855809</v>
      </c>
      <c r="AA4416" s="1">
        <v>201850000</v>
      </c>
      <c r="AB4416" s="1">
        <v>34</v>
      </c>
    </row>
    <row r="4417" spans="1:28" x14ac:dyDescent="0.15">
      <c r="A4417" s="1">
        <v>11076</v>
      </c>
      <c r="L4417" s="1" t="s">
        <v>2091</v>
      </c>
      <c r="N4417" s="1" t="s">
        <v>2092</v>
      </c>
      <c r="P4417" s="1" t="s">
        <v>2403</v>
      </c>
      <c r="Q4417" s="3">
        <v>0</v>
      </c>
      <c r="S4417" s="23" t="s">
        <v>5949</v>
      </c>
      <c r="W4417" s="45" t="str">
        <f>HYPERLINK("http://ictvonline.org/taxonomy/p/taxonomy-history?taxnode_id=201853273","ICTVonline=201853273")</f>
        <v>ICTVonline=201853273</v>
      </c>
      <c r="AA4417" s="1">
        <v>201850000</v>
      </c>
      <c r="AB4417" s="1">
        <v>34</v>
      </c>
    </row>
    <row r="4418" spans="1:28" x14ac:dyDescent="0.15">
      <c r="A4418" s="1">
        <v>11078</v>
      </c>
      <c r="L4418" s="1" t="s">
        <v>2091</v>
      </c>
      <c r="N4418" s="1" t="s">
        <v>2092</v>
      </c>
      <c r="P4418" s="1" t="s">
        <v>1717</v>
      </c>
      <c r="Q4418" s="3">
        <v>0</v>
      </c>
      <c r="S4418" s="23" t="s">
        <v>5949</v>
      </c>
      <c r="W4418" s="45" t="str">
        <f>HYPERLINK("http://ictvonline.org/taxonomy/p/taxonomy-history?taxnode_id=201853274","ICTVonline=201853274")</f>
        <v>ICTVonline=201853274</v>
      </c>
      <c r="AA4418" s="1">
        <v>201850000</v>
      </c>
      <c r="AB4418" s="1">
        <v>34</v>
      </c>
    </row>
    <row r="4419" spans="1:28" x14ac:dyDescent="0.15">
      <c r="A4419" s="1">
        <v>11080</v>
      </c>
      <c r="L4419" s="1" t="s">
        <v>2091</v>
      </c>
      <c r="N4419" s="1" t="s">
        <v>2092</v>
      </c>
      <c r="P4419" s="1" t="s">
        <v>1718</v>
      </c>
      <c r="Q4419" s="3">
        <v>0</v>
      </c>
      <c r="S4419" s="23" t="s">
        <v>5949</v>
      </c>
      <c r="W4419" s="45" t="str">
        <f>HYPERLINK("http://ictvonline.org/taxonomy/p/taxonomy-history?taxnode_id=201853275","ICTVonline=201853275")</f>
        <v>ICTVonline=201853275</v>
      </c>
      <c r="AA4419" s="1">
        <v>201850000</v>
      </c>
      <c r="AB4419" s="1">
        <v>34</v>
      </c>
    </row>
    <row r="4420" spans="1:28" x14ac:dyDescent="0.15">
      <c r="A4420" s="1">
        <v>11082</v>
      </c>
      <c r="L4420" s="1" t="s">
        <v>2091</v>
      </c>
      <c r="N4420" s="1" t="s">
        <v>2092</v>
      </c>
      <c r="P4420" s="1" t="s">
        <v>1719</v>
      </c>
      <c r="Q4420" s="3">
        <v>0</v>
      </c>
      <c r="S4420" s="23" t="s">
        <v>5949</v>
      </c>
      <c r="W4420" s="45" t="str">
        <f>HYPERLINK("http://ictvonline.org/taxonomy/p/taxonomy-history?taxnode_id=201853276","ICTVonline=201853276")</f>
        <v>ICTVonline=201853276</v>
      </c>
      <c r="AA4420" s="1">
        <v>201850000</v>
      </c>
      <c r="AB4420" s="1">
        <v>34</v>
      </c>
    </row>
    <row r="4421" spans="1:28" x14ac:dyDescent="0.15">
      <c r="A4421" s="1">
        <v>11084</v>
      </c>
      <c r="L4421" s="1" t="s">
        <v>2091</v>
      </c>
      <c r="N4421" s="1" t="s">
        <v>2092</v>
      </c>
      <c r="P4421" s="1" t="s">
        <v>2404</v>
      </c>
      <c r="Q4421" s="3">
        <v>0</v>
      </c>
      <c r="S4421" s="23" t="s">
        <v>5949</v>
      </c>
      <c r="W4421" s="45" t="str">
        <f>HYPERLINK("http://ictvonline.org/taxonomy/p/taxonomy-history?taxnode_id=201853277","ICTVonline=201853277")</f>
        <v>ICTVonline=201853277</v>
      </c>
      <c r="AA4421" s="1">
        <v>201850000</v>
      </c>
      <c r="AB4421" s="1">
        <v>34</v>
      </c>
    </row>
    <row r="4422" spans="1:28" x14ac:dyDescent="0.15">
      <c r="A4422" s="1">
        <v>11086</v>
      </c>
      <c r="L4422" s="1" t="s">
        <v>2091</v>
      </c>
      <c r="N4422" s="1" t="s">
        <v>2092</v>
      </c>
      <c r="P4422" s="1" t="s">
        <v>2405</v>
      </c>
      <c r="Q4422" s="3">
        <v>0</v>
      </c>
      <c r="S4422" s="23" t="s">
        <v>5949</v>
      </c>
      <c r="W4422" s="45" t="str">
        <f>HYPERLINK("http://ictvonline.org/taxonomy/p/taxonomy-history?taxnode_id=201853278","ICTVonline=201853278")</f>
        <v>ICTVonline=201853278</v>
      </c>
      <c r="AA4422" s="1">
        <v>201850000</v>
      </c>
      <c r="AB4422" s="1">
        <v>34</v>
      </c>
    </row>
    <row r="4423" spans="1:28" x14ac:dyDescent="0.15">
      <c r="A4423" s="1">
        <v>11088</v>
      </c>
      <c r="L4423" s="1" t="s">
        <v>2091</v>
      </c>
      <c r="N4423" s="1" t="s">
        <v>2092</v>
      </c>
      <c r="P4423" s="1" t="s">
        <v>5394</v>
      </c>
      <c r="Q4423" s="3">
        <v>0</v>
      </c>
      <c r="S4423" s="23" t="s">
        <v>5949</v>
      </c>
      <c r="W4423" s="45" t="str">
        <f>HYPERLINK("http://ictvonline.org/taxonomy/p/taxonomy-history?taxnode_id=201855810","ICTVonline=201855810")</f>
        <v>ICTVonline=201855810</v>
      </c>
      <c r="AA4423" s="1">
        <v>201850000</v>
      </c>
      <c r="AB4423" s="1">
        <v>34</v>
      </c>
    </row>
    <row r="4424" spans="1:28" x14ac:dyDescent="0.15">
      <c r="A4424" s="1">
        <v>11090</v>
      </c>
      <c r="L4424" s="1" t="s">
        <v>2091</v>
      </c>
      <c r="N4424" s="1" t="s">
        <v>2092</v>
      </c>
      <c r="P4424" s="1" t="s">
        <v>3791</v>
      </c>
      <c r="Q4424" s="3">
        <v>0</v>
      </c>
      <c r="S4424" s="23" t="s">
        <v>5949</v>
      </c>
      <c r="W4424" s="45" t="str">
        <f>HYPERLINK("http://ictvonline.org/taxonomy/p/taxonomy-history?taxnode_id=201853279","ICTVonline=201853279")</f>
        <v>ICTVonline=201853279</v>
      </c>
      <c r="AA4424" s="1">
        <v>201850000</v>
      </c>
      <c r="AB4424" s="1">
        <v>34</v>
      </c>
    </row>
    <row r="4425" spans="1:28" x14ac:dyDescent="0.15">
      <c r="A4425" s="1">
        <v>11092</v>
      </c>
      <c r="L4425" s="1" t="s">
        <v>2091</v>
      </c>
      <c r="N4425" s="1" t="s">
        <v>2092</v>
      </c>
      <c r="P4425" s="1" t="s">
        <v>1720</v>
      </c>
      <c r="Q4425" s="3">
        <v>0</v>
      </c>
      <c r="S4425" s="23" t="s">
        <v>5949</v>
      </c>
      <c r="W4425" s="45" t="str">
        <f>HYPERLINK("http://ictvonline.org/taxonomy/p/taxonomy-history?taxnode_id=201853280","ICTVonline=201853280")</f>
        <v>ICTVonline=201853280</v>
      </c>
      <c r="AA4425" s="1">
        <v>201850000</v>
      </c>
      <c r="AB4425" s="1">
        <v>34</v>
      </c>
    </row>
    <row r="4426" spans="1:28" x14ac:dyDescent="0.15">
      <c r="A4426" s="1">
        <v>11094</v>
      </c>
      <c r="L4426" s="1" t="s">
        <v>2091</v>
      </c>
      <c r="N4426" s="1" t="s">
        <v>2092</v>
      </c>
      <c r="P4426" s="1" t="s">
        <v>2406</v>
      </c>
      <c r="Q4426" s="3">
        <v>0</v>
      </c>
      <c r="S4426" s="23" t="s">
        <v>5949</v>
      </c>
      <c r="W4426" s="45" t="str">
        <f>HYPERLINK("http://ictvonline.org/taxonomy/p/taxonomy-history?taxnode_id=201853281","ICTVonline=201853281")</f>
        <v>ICTVonline=201853281</v>
      </c>
      <c r="AA4426" s="1">
        <v>201850000</v>
      </c>
      <c r="AB4426" s="1">
        <v>34</v>
      </c>
    </row>
    <row r="4427" spans="1:28" x14ac:dyDescent="0.15">
      <c r="A4427" s="1">
        <v>11096</v>
      </c>
      <c r="L4427" s="1" t="s">
        <v>2091</v>
      </c>
      <c r="N4427" s="1" t="s">
        <v>2092</v>
      </c>
      <c r="P4427" s="1" t="s">
        <v>2407</v>
      </c>
      <c r="Q4427" s="3">
        <v>0</v>
      </c>
      <c r="S4427" s="23" t="s">
        <v>5949</v>
      </c>
      <c r="W4427" s="45" t="str">
        <f>HYPERLINK("http://ictvonline.org/taxonomy/p/taxonomy-history?taxnode_id=201853282","ICTVonline=201853282")</f>
        <v>ICTVonline=201853282</v>
      </c>
      <c r="AA4427" s="1">
        <v>201850000</v>
      </c>
      <c r="AB4427" s="1">
        <v>34</v>
      </c>
    </row>
    <row r="4428" spans="1:28" x14ac:dyDescent="0.15">
      <c r="A4428" s="1">
        <v>11098</v>
      </c>
      <c r="L4428" s="1" t="s">
        <v>2091</v>
      </c>
      <c r="N4428" s="1" t="s">
        <v>2092</v>
      </c>
      <c r="P4428" s="1" t="s">
        <v>1721</v>
      </c>
      <c r="Q4428" s="3">
        <v>0</v>
      </c>
      <c r="S4428" s="23" t="s">
        <v>5949</v>
      </c>
      <c r="W4428" s="45" t="str">
        <f>HYPERLINK("http://ictvonline.org/taxonomy/p/taxonomy-history?taxnode_id=201853283","ICTVonline=201853283")</f>
        <v>ICTVonline=201853283</v>
      </c>
      <c r="AA4428" s="1">
        <v>201850000</v>
      </c>
      <c r="AB4428" s="1">
        <v>34</v>
      </c>
    </row>
    <row r="4429" spans="1:28" x14ac:dyDescent="0.15">
      <c r="A4429" s="1">
        <v>11100</v>
      </c>
      <c r="L4429" s="1" t="s">
        <v>2091</v>
      </c>
      <c r="N4429" s="1" t="s">
        <v>2092</v>
      </c>
      <c r="P4429" s="1" t="s">
        <v>5395</v>
      </c>
      <c r="Q4429" s="3">
        <v>0</v>
      </c>
      <c r="S4429" s="23" t="s">
        <v>5949</v>
      </c>
      <c r="W4429" s="45" t="str">
        <f>HYPERLINK("http://ictvonline.org/taxonomy/p/taxonomy-history?taxnode_id=201855811","ICTVonline=201855811")</f>
        <v>ICTVonline=201855811</v>
      </c>
      <c r="AA4429" s="1">
        <v>201850000</v>
      </c>
      <c r="AB4429" s="1">
        <v>34</v>
      </c>
    </row>
    <row r="4430" spans="1:28" x14ac:dyDescent="0.15">
      <c r="A4430" s="1">
        <v>11102</v>
      </c>
      <c r="L4430" s="1" t="s">
        <v>2091</v>
      </c>
      <c r="N4430" s="1" t="s">
        <v>2092</v>
      </c>
      <c r="P4430" s="1" t="s">
        <v>2408</v>
      </c>
      <c r="Q4430" s="3">
        <v>0</v>
      </c>
      <c r="S4430" s="23" t="s">
        <v>5949</v>
      </c>
      <c r="W4430" s="45" t="str">
        <f>HYPERLINK("http://ictvonline.org/taxonomy/p/taxonomy-history?taxnode_id=201853284","ICTVonline=201853284")</f>
        <v>ICTVonline=201853284</v>
      </c>
      <c r="AA4430" s="1">
        <v>201850000</v>
      </c>
      <c r="AB4430" s="1">
        <v>34</v>
      </c>
    </row>
    <row r="4431" spans="1:28" x14ac:dyDescent="0.15">
      <c r="A4431" s="1">
        <v>11104</v>
      </c>
      <c r="L4431" s="1" t="s">
        <v>2091</v>
      </c>
      <c r="N4431" s="1" t="s">
        <v>2092</v>
      </c>
      <c r="P4431" s="1" t="s">
        <v>1713</v>
      </c>
      <c r="Q4431" s="3">
        <v>0</v>
      </c>
      <c r="S4431" s="23" t="s">
        <v>5949</v>
      </c>
      <c r="W4431" s="45" t="str">
        <f>HYPERLINK("http://ictvonline.org/taxonomy/p/taxonomy-history?taxnode_id=201853285","ICTVonline=201853285")</f>
        <v>ICTVonline=201853285</v>
      </c>
      <c r="AA4431" s="1">
        <v>201850000</v>
      </c>
      <c r="AB4431" s="1">
        <v>34</v>
      </c>
    </row>
    <row r="4432" spans="1:28" x14ac:dyDescent="0.15">
      <c r="A4432" s="1">
        <v>11106</v>
      </c>
      <c r="L4432" s="1" t="s">
        <v>2091</v>
      </c>
      <c r="N4432" s="1" t="s">
        <v>2092</v>
      </c>
      <c r="P4432" s="1" t="s">
        <v>1714</v>
      </c>
      <c r="Q4432" s="3">
        <v>0</v>
      </c>
      <c r="S4432" s="23" t="s">
        <v>5949</v>
      </c>
      <c r="W4432" s="45" t="str">
        <f>HYPERLINK("http://ictvonline.org/taxonomy/p/taxonomy-history?taxnode_id=201853286","ICTVonline=201853286")</f>
        <v>ICTVonline=201853286</v>
      </c>
      <c r="AA4432" s="1">
        <v>201850000</v>
      </c>
      <c r="AB4432" s="1">
        <v>34</v>
      </c>
    </row>
    <row r="4433" spans="1:28" x14ac:dyDescent="0.15">
      <c r="A4433" s="1">
        <v>11108</v>
      </c>
      <c r="L4433" s="1" t="s">
        <v>2091</v>
      </c>
      <c r="N4433" s="1" t="s">
        <v>2092</v>
      </c>
      <c r="P4433" s="1" t="s">
        <v>5396</v>
      </c>
      <c r="Q4433" s="3">
        <v>0</v>
      </c>
      <c r="S4433" s="23" t="s">
        <v>5949</v>
      </c>
      <c r="W4433" s="45" t="str">
        <f>HYPERLINK("http://ictvonline.org/taxonomy/p/taxonomy-history?taxnode_id=201855812","ICTVonline=201855812")</f>
        <v>ICTVonline=201855812</v>
      </c>
      <c r="AA4433" s="1">
        <v>201850000</v>
      </c>
      <c r="AB4433" s="1">
        <v>34</v>
      </c>
    </row>
    <row r="4434" spans="1:28" x14ac:dyDescent="0.15">
      <c r="A4434" s="1">
        <v>11110</v>
      </c>
      <c r="L4434" s="1" t="s">
        <v>2091</v>
      </c>
      <c r="N4434" s="1" t="s">
        <v>2092</v>
      </c>
      <c r="P4434" s="1" t="s">
        <v>5397</v>
      </c>
      <c r="Q4434" s="3">
        <v>0</v>
      </c>
      <c r="S4434" s="23" t="s">
        <v>5949</v>
      </c>
      <c r="W4434" s="45" t="str">
        <f>HYPERLINK("http://ictvonline.org/taxonomy/p/taxonomy-history?taxnode_id=201855813","ICTVonline=201855813")</f>
        <v>ICTVonline=201855813</v>
      </c>
      <c r="AA4434" s="1">
        <v>201850000</v>
      </c>
      <c r="AB4434" s="1">
        <v>34</v>
      </c>
    </row>
    <row r="4435" spans="1:28" x14ac:dyDescent="0.15">
      <c r="A4435" s="1">
        <v>11112</v>
      </c>
      <c r="L4435" s="1" t="s">
        <v>2091</v>
      </c>
      <c r="N4435" s="1" t="s">
        <v>2092</v>
      </c>
      <c r="P4435" s="1" t="s">
        <v>1715</v>
      </c>
      <c r="Q4435" s="3">
        <v>0</v>
      </c>
      <c r="S4435" s="23" t="s">
        <v>5949</v>
      </c>
      <c r="W4435" s="45" t="str">
        <f>HYPERLINK("http://ictvonline.org/taxonomy/p/taxonomy-history?taxnode_id=201853287","ICTVonline=201853287")</f>
        <v>ICTVonline=201853287</v>
      </c>
      <c r="AA4435" s="1">
        <v>201850000</v>
      </c>
      <c r="AB4435" s="1">
        <v>34</v>
      </c>
    </row>
    <row r="4436" spans="1:28" x14ac:dyDescent="0.15">
      <c r="A4436" s="1">
        <v>11114</v>
      </c>
      <c r="L4436" s="1" t="s">
        <v>2091</v>
      </c>
      <c r="N4436" s="1" t="s">
        <v>2092</v>
      </c>
      <c r="P4436" s="1" t="s">
        <v>2409</v>
      </c>
      <c r="Q4436" s="3">
        <v>0</v>
      </c>
      <c r="S4436" s="23" t="s">
        <v>5949</v>
      </c>
      <c r="W4436" s="45" t="str">
        <f>HYPERLINK("http://ictvonline.org/taxonomy/p/taxonomy-history?taxnode_id=201853288","ICTVonline=201853288")</f>
        <v>ICTVonline=201853288</v>
      </c>
      <c r="AA4436" s="1">
        <v>201850000</v>
      </c>
      <c r="AB4436" s="1">
        <v>34</v>
      </c>
    </row>
    <row r="4437" spans="1:28" x14ac:dyDescent="0.15">
      <c r="A4437" s="1">
        <v>11116</v>
      </c>
      <c r="L4437" s="1" t="s">
        <v>2091</v>
      </c>
      <c r="N4437" s="1" t="s">
        <v>2092</v>
      </c>
      <c r="P4437" s="1" t="s">
        <v>2410</v>
      </c>
      <c r="Q4437" s="3">
        <v>0</v>
      </c>
      <c r="S4437" s="23" t="s">
        <v>5949</v>
      </c>
      <c r="W4437" s="45" t="str">
        <f>HYPERLINK("http://ictvonline.org/taxonomy/p/taxonomy-history?taxnode_id=201853289","ICTVonline=201853289")</f>
        <v>ICTVonline=201853289</v>
      </c>
      <c r="AA4437" s="1">
        <v>201850000</v>
      </c>
      <c r="AB4437" s="1">
        <v>34</v>
      </c>
    </row>
    <row r="4438" spans="1:28" x14ac:dyDescent="0.15">
      <c r="A4438" s="1">
        <v>11118</v>
      </c>
      <c r="L4438" s="1" t="s">
        <v>2091</v>
      </c>
      <c r="N4438" s="1" t="s">
        <v>2092</v>
      </c>
      <c r="P4438" s="1" t="s">
        <v>95</v>
      </c>
      <c r="Q4438" s="3">
        <v>0</v>
      </c>
      <c r="S4438" s="23" t="s">
        <v>5949</v>
      </c>
      <c r="W4438" s="45" t="str">
        <f>HYPERLINK("http://ictvonline.org/taxonomy/p/taxonomy-history?taxnode_id=201853290","ICTVonline=201853290")</f>
        <v>ICTVonline=201853290</v>
      </c>
      <c r="AA4438" s="1">
        <v>201850000</v>
      </c>
      <c r="AB4438" s="1">
        <v>34</v>
      </c>
    </row>
    <row r="4439" spans="1:28" x14ac:dyDescent="0.15">
      <c r="A4439" s="1">
        <v>11120</v>
      </c>
      <c r="L4439" s="1" t="s">
        <v>2091</v>
      </c>
      <c r="N4439" s="1" t="s">
        <v>2092</v>
      </c>
      <c r="P4439" s="1" t="s">
        <v>3792</v>
      </c>
      <c r="Q4439" s="3">
        <v>0</v>
      </c>
      <c r="S4439" s="23" t="s">
        <v>5949</v>
      </c>
      <c r="W4439" s="45" t="str">
        <f>HYPERLINK("http://ictvonline.org/taxonomy/p/taxonomy-history?taxnode_id=201853291","ICTVonline=201853291")</f>
        <v>ICTVonline=201853291</v>
      </c>
      <c r="AA4439" s="1">
        <v>201850000</v>
      </c>
      <c r="AB4439" s="1">
        <v>34</v>
      </c>
    </row>
    <row r="4440" spans="1:28" x14ac:dyDescent="0.15">
      <c r="A4440" s="1">
        <v>11122</v>
      </c>
      <c r="L4440" s="1" t="s">
        <v>2091</v>
      </c>
      <c r="N4440" s="1" t="s">
        <v>2092</v>
      </c>
      <c r="P4440" s="1" t="s">
        <v>1716</v>
      </c>
      <c r="Q4440" s="3">
        <v>0</v>
      </c>
      <c r="S4440" s="23" t="s">
        <v>5949</v>
      </c>
      <c r="W4440" s="45" t="str">
        <f>HYPERLINK("http://ictvonline.org/taxonomy/p/taxonomy-history?taxnode_id=201853292","ICTVonline=201853292")</f>
        <v>ICTVonline=201853292</v>
      </c>
      <c r="AA4440" s="1">
        <v>201850000</v>
      </c>
      <c r="AB4440" s="1">
        <v>34</v>
      </c>
    </row>
    <row r="4441" spans="1:28" x14ac:dyDescent="0.15">
      <c r="A4441" s="1">
        <v>11124</v>
      </c>
      <c r="L4441" s="1" t="s">
        <v>2091</v>
      </c>
      <c r="N4441" s="1" t="s">
        <v>2092</v>
      </c>
      <c r="P4441" s="1" t="s">
        <v>335</v>
      </c>
      <c r="Q4441" s="3">
        <v>0</v>
      </c>
      <c r="S4441" s="23" t="s">
        <v>5949</v>
      </c>
      <c r="W4441" s="45" t="str">
        <f>HYPERLINK("http://ictvonline.org/taxonomy/p/taxonomy-history?taxnode_id=201853293","ICTVonline=201853293")</f>
        <v>ICTVonline=201853293</v>
      </c>
      <c r="AA4441" s="1">
        <v>201850000</v>
      </c>
      <c r="AB4441" s="1">
        <v>34</v>
      </c>
    </row>
    <row r="4442" spans="1:28" x14ac:dyDescent="0.15">
      <c r="A4442" s="1">
        <v>11126</v>
      </c>
      <c r="L4442" s="1" t="s">
        <v>2091</v>
      </c>
      <c r="N4442" s="1" t="s">
        <v>2092</v>
      </c>
      <c r="P4442" s="1" t="s">
        <v>5398</v>
      </c>
      <c r="Q4442" s="3">
        <v>0</v>
      </c>
      <c r="S4442" s="23" t="s">
        <v>5949</v>
      </c>
      <c r="W4442" s="45" t="str">
        <f>HYPERLINK("http://ictvonline.org/taxonomy/p/taxonomy-history?taxnode_id=201855814","ICTVonline=201855814")</f>
        <v>ICTVonline=201855814</v>
      </c>
      <c r="AA4442" s="1">
        <v>201850000</v>
      </c>
      <c r="AB4442" s="1">
        <v>34</v>
      </c>
    </row>
    <row r="4443" spans="1:28" x14ac:dyDescent="0.15">
      <c r="A4443" s="1">
        <v>11128</v>
      </c>
      <c r="L4443" s="1" t="s">
        <v>2091</v>
      </c>
      <c r="N4443" s="1" t="s">
        <v>2092</v>
      </c>
      <c r="P4443" s="1" t="s">
        <v>336</v>
      </c>
      <c r="Q4443" s="3">
        <v>0</v>
      </c>
      <c r="S4443" s="23" t="s">
        <v>5949</v>
      </c>
      <c r="W4443" s="45" t="str">
        <f>HYPERLINK("http://ictvonline.org/taxonomy/p/taxonomy-history?taxnode_id=201853294","ICTVonline=201853294")</f>
        <v>ICTVonline=201853294</v>
      </c>
      <c r="AA4443" s="1">
        <v>201850000</v>
      </c>
      <c r="AB4443" s="1">
        <v>34</v>
      </c>
    </row>
    <row r="4444" spans="1:28" x14ac:dyDescent="0.15">
      <c r="A4444" s="1">
        <v>11130</v>
      </c>
      <c r="L4444" s="1" t="s">
        <v>2091</v>
      </c>
      <c r="N4444" s="1" t="s">
        <v>2092</v>
      </c>
      <c r="P4444" s="1" t="s">
        <v>337</v>
      </c>
      <c r="Q4444" s="3">
        <v>0</v>
      </c>
      <c r="S4444" s="23" t="s">
        <v>5949</v>
      </c>
      <c r="W4444" s="45" t="str">
        <f>HYPERLINK("http://ictvonline.org/taxonomy/p/taxonomy-history?taxnode_id=201853295","ICTVonline=201853295")</f>
        <v>ICTVonline=201853295</v>
      </c>
      <c r="AA4444" s="1">
        <v>201850000</v>
      </c>
      <c r="AB4444" s="1">
        <v>34</v>
      </c>
    </row>
    <row r="4445" spans="1:28" x14ac:dyDescent="0.15">
      <c r="A4445" s="1">
        <v>11132</v>
      </c>
      <c r="L4445" s="1" t="s">
        <v>2091</v>
      </c>
      <c r="N4445" s="1" t="s">
        <v>2092</v>
      </c>
      <c r="P4445" s="1" t="s">
        <v>2411</v>
      </c>
      <c r="Q4445" s="3">
        <v>0</v>
      </c>
      <c r="S4445" s="23" t="s">
        <v>5949</v>
      </c>
      <c r="W4445" s="45" t="str">
        <f>HYPERLINK("http://ictvonline.org/taxonomy/p/taxonomy-history?taxnode_id=201853296","ICTVonline=201853296")</f>
        <v>ICTVonline=201853296</v>
      </c>
      <c r="AA4445" s="1">
        <v>201850000</v>
      </c>
      <c r="AB4445" s="1">
        <v>34</v>
      </c>
    </row>
    <row r="4446" spans="1:28" x14ac:dyDescent="0.15">
      <c r="A4446" s="1">
        <v>11134</v>
      </c>
      <c r="L4446" s="1" t="s">
        <v>2091</v>
      </c>
      <c r="N4446" s="1" t="s">
        <v>2092</v>
      </c>
      <c r="P4446" s="1" t="s">
        <v>5399</v>
      </c>
      <c r="Q4446" s="3">
        <v>0</v>
      </c>
      <c r="S4446" s="23" t="s">
        <v>5949</v>
      </c>
      <c r="W4446" s="45" t="str">
        <f>HYPERLINK("http://ictvonline.org/taxonomy/p/taxonomy-history?taxnode_id=201855815","ICTVonline=201855815")</f>
        <v>ICTVonline=201855815</v>
      </c>
      <c r="AA4446" s="1">
        <v>201850000</v>
      </c>
      <c r="AB4446" s="1">
        <v>34</v>
      </c>
    </row>
    <row r="4447" spans="1:28" x14ac:dyDescent="0.15">
      <c r="A4447" s="1">
        <v>11136</v>
      </c>
      <c r="L4447" s="1" t="s">
        <v>2091</v>
      </c>
      <c r="N4447" s="1" t="s">
        <v>2092</v>
      </c>
      <c r="P4447" s="1" t="s">
        <v>2412</v>
      </c>
      <c r="Q4447" s="3">
        <v>0</v>
      </c>
      <c r="S4447" s="23" t="s">
        <v>5949</v>
      </c>
      <c r="W4447" s="45" t="str">
        <f>HYPERLINK("http://ictvonline.org/taxonomy/p/taxonomy-history?taxnode_id=201853297","ICTVonline=201853297")</f>
        <v>ICTVonline=201853297</v>
      </c>
      <c r="AA4447" s="1">
        <v>201850000</v>
      </c>
      <c r="AB4447" s="1">
        <v>34</v>
      </c>
    </row>
    <row r="4448" spans="1:28" x14ac:dyDescent="0.15">
      <c r="A4448" s="1">
        <v>11138</v>
      </c>
      <c r="L4448" s="1" t="s">
        <v>2091</v>
      </c>
      <c r="N4448" s="1" t="s">
        <v>2092</v>
      </c>
      <c r="P4448" s="1" t="s">
        <v>338</v>
      </c>
      <c r="Q4448" s="3">
        <v>0</v>
      </c>
      <c r="S4448" s="23" t="s">
        <v>5949</v>
      </c>
      <c r="W4448" s="45" t="str">
        <f>HYPERLINK("http://ictvonline.org/taxonomy/p/taxonomy-history?taxnode_id=201853298","ICTVonline=201853298")</f>
        <v>ICTVonline=201853298</v>
      </c>
      <c r="AA4448" s="1">
        <v>201850000</v>
      </c>
      <c r="AB4448" s="1">
        <v>34</v>
      </c>
    </row>
    <row r="4449" spans="1:28" x14ac:dyDescent="0.15">
      <c r="A4449" s="1">
        <v>11140</v>
      </c>
      <c r="L4449" s="1" t="s">
        <v>2091</v>
      </c>
      <c r="N4449" s="1" t="s">
        <v>2092</v>
      </c>
      <c r="P4449" s="1" t="s">
        <v>339</v>
      </c>
      <c r="Q4449" s="3">
        <v>0</v>
      </c>
      <c r="S4449" s="23" t="s">
        <v>5949</v>
      </c>
      <c r="W4449" s="45" t="str">
        <f>HYPERLINK("http://ictvonline.org/taxonomy/p/taxonomy-history?taxnode_id=201853299","ICTVonline=201853299")</f>
        <v>ICTVonline=201853299</v>
      </c>
      <c r="AA4449" s="1">
        <v>201850000</v>
      </c>
      <c r="AB4449" s="1">
        <v>34</v>
      </c>
    </row>
    <row r="4450" spans="1:28" x14ac:dyDescent="0.15">
      <c r="A4450" s="1">
        <v>11142</v>
      </c>
      <c r="L4450" s="1" t="s">
        <v>2091</v>
      </c>
      <c r="N4450" s="1" t="s">
        <v>2092</v>
      </c>
      <c r="P4450" s="1" t="s">
        <v>5400</v>
      </c>
      <c r="Q4450" s="3">
        <v>0</v>
      </c>
      <c r="S4450" s="23" t="s">
        <v>5949</v>
      </c>
      <c r="W4450" s="45" t="str">
        <f>HYPERLINK("http://ictvonline.org/taxonomy/p/taxonomy-history?taxnode_id=201855816","ICTVonline=201855816")</f>
        <v>ICTVonline=201855816</v>
      </c>
      <c r="AA4450" s="1">
        <v>201850000</v>
      </c>
      <c r="AB4450" s="1">
        <v>34</v>
      </c>
    </row>
    <row r="4451" spans="1:28" x14ac:dyDescent="0.15">
      <c r="A4451" s="1">
        <v>11144</v>
      </c>
      <c r="L4451" s="1" t="s">
        <v>2091</v>
      </c>
      <c r="N4451" s="1" t="s">
        <v>2092</v>
      </c>
      <c r="P4451" s="1" t="s">
        <v>2413</v>
      </c>
      <c r="Q4451" s="3">
        <v>0</v>
      </c>
      <c r="S4451" s="23" t="s">
        <v>5949</v>
      </c>
      <c r="W4451" s="45" t="str">
        <f>HYPERLINK("http://ictvonline.org/taxonomy/p/taxonomy-history?taxnode_id=201853300","ICTVonline=201853300")</f>
        <v>ICTVonline=201853300</v>
      </c>
      <c r="AA4451" s="1">
        <v>201850000</v>
      </c>
      <c r="AB4451" s="1">
        <v>34</v>
      </c>
    </row>
    <row r="4452" spans="1:28" x14ac:dyDescent="0.15">
      <c r="A4452" s="1">
        <v>11146</v>
      </c>
      <c r="L4452" s="1" t="s">
        <v>2091</v>
      </c>
      <c r="N4452" s="1" t="s">
        <v>2092</v>
      </c>
      <c r="P4452" s="1" t="s">
        <v>340</v>
      </c>
      <c r="Q4452" s="3">
        <v>0</v>
      </c>
      <c r="S4452" s="23" t="s">
        <v>5949</v>
      </c>
      <c r="W4452" s="45" t="str">
        <f>HYPERLINK("http://ictvonline.org/taxonomy/p/taxonomy-history?taxnode_id=201853301","ICTVonline=201853301")</f>
        <v>ICTVonline=201853301</v>
      </c>
      <c r="AA4452" s="1">
        <v>201850000</v>
      </c>
      <c r="AB4452" s="1">
        <v>34</v>
      </c>
    </row>
    <row r="4453" spans="1:28" x14ac:dyDescent="0.15">
      <c r="A4453" s="1">
        <v>11148</v>
      </c>
      <c r="L4453" s="1" t="s">
        <v>2091</v>
      </c>
      <c r="N4453" s="1" t="s">
        <v>2092</v>
      </c>
      <c r="P4453" s="1" t="s">
        <v>341</v>
      </c>
      <c r="Q4453" s="3">
        <v>0</v>
      </c>
      <c r="S4453" s="23" t="s">
        <v>5949</v>
      </c>
      <c r="W4453" s="45" t="str">
        <f>HYPERLINK("http://ictvonline.org/taxonomy/p/taxonomy-history?taxnode_id=201853302","ICTVonline=201853302")</f>
        <v>ICTVonline=201853302</v>
      </c>
      <c r="AA4453" s="1">
        <v>201850000</v>
      </c>
      <c r="AB4453" s="1">
        <v>34</v>
      </c>
    </row>
    <row r="4454" spans="1:28" x14ac:dyDescent="0.15">
      <c r="A4454" s="1">
        <v>11150</v>
      </c>
      <c r="L4454" s="1" t="s">
        <v>2091</v>
      </c>
      <c r="N4454" s="1" t="s">
        <v>2092</v>
      </c>
      <c r="P4454" s="1" t="s">
        <v>342</v>
      </c>
      <c r="Q4454" s="3">
        <v>0</v>
      </c>
      <c r="S4454" s="23" t="s">
        <v>5949</v>
      </c>
      <c r="W4454" s="45" t="str">
        <f>HYPERLINK("http://ictvonline.org/taxonomy/p/taxonomy-history?taxnode_id=201853303","ICTVonline=201853303")</f>
        <v>ICTVonline=201853303</v>
      </c>
      <c r="AA4454" s="1">
        <v>201850000</v>
      </c>
      <c r="AB4454" s="1">
        <v>34</v>
      </c>
    </row>
    <row r="4455" spans="1:28" x14ac:dyDescent="0.15">
      <c r="A4455" s="1">
        <v>11152</v>
      </c>
      <c r="L4455" s="1" t="s">
        <v>2091</v>
      </c>
      <c r="N4455" s="1" t="s">
        <v>2092</v>
      </c>
      <c r="P4455" s="1" t="s">
        <v>5401</v>
      </c>
      <c r="Q4455" s="3">
        <v>0</v>
      </c>
      <c r="S4455" s="23" t="s">
        <v>5949</v>
      </c>
      <c r="W4455" s="45" t="str">
        <f>HYPERLINK("http://ictvonline.org/taxonomy/p/taxonomy-history?taxnode_id=201855817","ICTVonline=201855817")</f>
        <v>ICTVonline=201855817</v>
      </c>
      <c r="AA4455" s="1">
        <v>201850000</v>
      </c>
      <c r="AB4455" s="1">
        <v>34</v>
      </c>
    </row>
    <row r="4456" spans="1:28" x14ac:dyDescent="0.15">
      <c r="A4456" s="1">
        <v>11154</v>
      </c>
      <c r="L4456" s="1" t="s">
        <v>2091</v>
      </c>
      <c r="N4456" s="1" t="s">
        <v>2092</v>
      </c>
      <c r="P4456" s="1" t="s">
        <v>2414</v>
      </c>
      <c r="Q4456" s="3">
        <v>0</v>
      </c>
      <c r="S4456" s="23" t="s">
        <v>5949</v>
      </c>
      <c r="W4456" s="45" t="str">
        <f>HYPERLINK("http://ictvonline.org/taxonomy/p/taxonomy-history?taxnode_id=201853304","ICTVonline=201853304")</f>
        <v>ICTVonline=201853304</v>
      </c>
      <c r="AA4456" s="1">
        <v>201850000</v>
      </c>
      <c r="AB4456" s="1">
        <v>34</v>
      </c>
    </row>
    <row r="4457" spans="1:28" x14ac:dyDescent="0.15">
      <c r="A4457" s="1">
        <v>11156</v>
      </c>
      <c r="L4457" s="1" t="s">
        <v>2091</v>
      </c>
      <c r="N4457" s="1" t="s">
        <v>2092</v>
      </c>
      <c r="P4457" s="1" t="s">
        <v>5402</v>
      </c>
      <c r="Q4457" s="3">
        <v>0</v>
      </c>
      <c r="S4457" s="23" t="s">
        <v>5949</v>
      </c>
      <c r="W4457" s="45" t="str">
        <f>HYPERLINK("http://ictvonline.org/taxonomy/p/taxonomy-history?taxnode_id=201855818","ICTVonline=201855818")</f>
        <v>ICTVonline=201855818</v>
      </c>
      <c r="AA4457" s="1">
        <v>201850000</v>
      </c>
      <c r="AB4457" s="1">
        <v>34</v>
      </c>
    </row>
    <row r="4458" spans="1:28" x14ac:dyDescent="0.15">
      <c r="A4458" s="1">
        <v>11158</v>
      </c>
      <c r="L4458" s="1" t="s">
        <v>2091</v>
      </c>
      <c r="N4458" s="1" t="s">
        <v>2092</v>
      </c>
      <c r="P4458" s="1" t="s">
        <v>5403</v>
      </c>
      <c r="Q4458" s="3">
        <v>0</v>
      </c>
      <c r="S4458" s="23" t="s">
        <v>5949</v>
      </c>
      <c r="W4458" s="45" t="str">
        <f>HYPERLINK("http://ictvonline.org/taxonomy/p/taxonomy-history?taxnode_id=201855819","ICTVonline=201855819")</f>
        <v>ICTVonline=201855819</v>
      </c>
      <c r="AA4458" s="1">
        <v>201850000</v>
      </c>
      <c r="AB4458" s="1">
        <v>34</v>
      </c>
    </row>
    <row r="4459" spans="1:28" x14ac:dyDescent="0.15">
      <c r="A4459" s="1">
        <v>11160</v>
      </c>
      <c r="L4459" s="1" t="s">
        <v>2091</v>
      </c>
      <c r="N4459" s="1" t="s">
        <v>2092</v>
      </c>
      <c r="P4459" s="1" t="s">
        <v>5404</v>
      </c>
      <c r="Q4459" s="3">
        <v>0</v>
      </c>
      <c r="S4459" s="23" t="s">
        <v>5949</v>
      </c>
      <c r="W4459" s="45" t="str">
        <f>HYPERLINK("http://ictvonline.org/taxonomy/p/taxonomy-history?taxnode_id=201855820","ICTVonline=201855820")</f>
        <v>ICTVonline=201855820</v>
      </c>
      <c r="AA4459" s="1">
        <v>201850000</v>
      </c>
      <c r="AB4459" s="1">
        <v>34</v>
      </c>
    </row>
    <row r="4460" spans="1:28" x14ac:dyDescent="0.15">
      <c r="A4460" s="1">
        <v>11162</v>
      </c>
      <c r="L4460" s="1" t="s">
        <v>2091</v>
      </c>
      <c r="N4460" s="1" t="s">
        <v>2092</v>
      </c>
      <c r="P4460" s="1" t="s">
        <v>5405</v>
      </c>
      <c r="Q4460" s="3">
        <v>0</v>
      </c>
      <c r="S4460" s="23" t="s">
        <v>5949</v>
      </c>
      <c r="W4460" s="45" t="str">
        <f>HYPERLINK("http://ictvonline.org/taxonomy/p/taxonomy-history?taxnode_id=201853305","ICTVonline=201853305")</f>
        <v>ICTVonline=201853305</v>
      </c>
      <c r="AA4460" s="1">
        <v>201850000</v>
      </c>
      <c r="AB4460" s="1">
        <v>34</v>
      </c>
    </row>
    <row r="4461" spans="1:28" x14ac:dyDescent="0.15">
      <c r="A4461" s="1">
        <v>11164</v>
      </c>
      <c r="L4461" s="1" t="s">
        <v>2091</v>
      </c>
      <c r="N4461" s="1" t="s">
        <v>2092</v>
      </c>
      <c r="P4461" s="1" t="s">
        <v>343</v>
      </c>
      <c r="Q4461" s="3">
        <v>0</v>
      </c>
      <c r="S4461" s="23" t="s">
        <v>5949</v>
      </c>
      <c r="W4461" s="45" t="str">
        <f>HYPERLINK("http://ictvonline.org/taxonomy/p/taxonomy-history?taxnode_id=201853306","ICTVonline=201853306")</f>
        <v>ICTVonline=201853306</v>
      </c>
      <c r="AA4461" s="1">
        <v>201850000</v>
      </c>
      <c r="AB4461" s="1">
        <v>34</v>
      </c>
    </row>
    <row r="4462" spans="1:28" x14ac:dyDescent="0.15">
      <c r="A4462" s="1">
        <v>11166</v>
      </c>
      <c r="L4462" s="1" t="s">
        <v>2091</v>
      </c>
      <c r="N4462" s="1" t="s">
        <v>2092</v>
      </c>
      <c r="P4462" s="1" t="s">
        <v>344</v>
      </c>
      <c r="Q4462" s="3">
        <v>0</v>
      </c>
      <c r="S4462" s="23" t="s">
        <v>5949</v>
      </c>
      <c r="W4462" s="45" t="str">
        <f>HYPERLINK("http://ictvonline.org/taxonomy/p/taxonomy-history?taxnode_id=201853307","ICTVonline=201853307")</f>
        <v>ICTVonline=201853307</v>
      </c>
      <c r="AA4462" s="1">
        <v>201850000</v>
      </c>
      <c r="AB4462" s="1">
        <v>34</v>
      </c>
    </row>
    <row r="4463" spans="1:28" x14ac:dyDescent="0.15">
      <c r="A4463" s="1">
        <v>11168</v>
      </c>
      <c r="L4463" s="1" t="s">
        <v>2091</v>
      </c>
      <c r="N4463" s="1" t="s">
        <v>2092</v>
      </c>
      <c r="P4463" s="1" t="s">
        <v>1448</v>
      </c>
      <c r="Q4463" s="3">
        <v>0</v>
      </c>
      <c r="S4463" s="23" t="s">
        <v>5949</v>
      </c>
      <c r="W4463" s="45" t="str">
        <f>HYPERLINK("http://ictvonline.org/taxonomy/p/taxonomy-history?taxnode_id=201853308","ICTVonline=201853308")</f>
        <v>ICTVonline=201853308</v>
      </c>
      <c r="AA4463" s="1">
        <v>201850000</v>
      </c>
      <c r="AB4463" s="1">
        <v>34</v>
      </c>
    </row>
    <row r="4464" spans="1:28" x14ac:dyDescent="0.15">
      <c r="A4464" s="1">
        <v>11170</v>
      </c>
      <c r="L4464" s="1" t="s">
        <v>2091</v>
      </c>
      <c r="N4464" s="1" t="s">
        <v>2092</v>
      </c>
      <c r="P4464" s="1" t="s">
        <v>453</v>
      </c>
      <c r="Q4464" s="3">
        <v>0</v>
      </c>
      <c r="S4464" s="23" t="s">
        <v>5949</v>
      </c>
      <c r="W4464" s="45" t="str">
        <f>HYPERLINK("http://ictvonline.org/taxonomy/p/taxonomy-history?taxnode_id=201853309","ICTVonline=201853309")</f>
        <v>ICTVonline=201853309</v>
      </c>
      <c r="AA4464" s="1">
        <v>201850000</v>
      </c>
      <c r="AB4464" s="1">
        <v>34</v>
      </c>
    </row>
    <row r="4465" spans="1:28" x14ac:dyDescent="0.15">
      <c r="A4465" s="1">
        <v>11172</v>
      </c>
      <c r="L4465" s="1" t="s">
        <v>2091</v>
      </c>
      <c r="N4465" s="1" t="s">
        <v>2092</v>
      </c>
      <c r="P4465" s="1" t="s">
        <v>454</v>
      </c>
      <c r="Q4465" s="3">
        <v>0</v>
      </c>
      <c r="S4465" s="23" t="s">
        <v>5949</v>
      </c>
      <c r="W4465" s="45" t="str">
        <f>HYPERLINK("http://ictvonline.org/taxonomy/p/taxonomy-history?taxnode_id=201853310","ICTVonline=201853310")</f>
        <v>ICTVonline=201853310</v>
      </c>
      <c r="AA4465" s="1">
        <v>201850000</v>
      </c>
      <c r="AB4465" s="1">
        <v>34</v>
      </c>
    </row>
    <row r="4466" spans="1:28" x14ac:dyDescent="0.15">
      <c r="A4466" s="1">
        <v>11174</v>
      </c>
      <c r="L4466" s="1" t="s">
        <v>2091</v>
      </c>
      <c r="N4466" s="1" t="s">
        <v>2092</v>
      </c>
      <c r="P4466" s="1" t="s">
        <v>2415</v>
      </c>
      <c r="Q4466" s="3">
        <v>0</v>
      </c>
      <c r="S4466" s="23" t="s">
        <v>5949</v>
      </c>
      <c r="W4466" s="45" t="str">
        <f>HYPERLINK("http://ictvonline.org/taxonomy/p/taxonomy-history?taxnode_id=201853311","ICTVonline=201853311")</f>
        <v>ICTVonline=201853311</v>
      </c>
      <c r="AA4466" s="1">
        <v>201850000</v>
      </c>
      <c r="AB4466" s="1">
        <v>34</v>
      </c>
    </row>
    <row r="4467" spans="1:28" x14ac:dyDescent="0.15">
      <c r="A4467" s="1">
        <v>11176</v>
      </c>
      <c r="L4467" s="1" t="s">
        <v>2091</v>
      </c>
      <c r="N4467" s="1" t="s">
        <v>2092</v>
      </c>
      <c r="P4467" s="1" t="s">
        <v>7061</v>
      </c>
      <c r="Q4467" s="3">
        <v>0</v>
      </c>
      <c r="S4467" s="23" t="s">
        <v>5949</v>
      </c>
      <c r="T4467" s="23" t="s">
        <v>4929</v>
      </c>
      <c r="U4467" s="3">
        <v>34</v>
      </c>
      <c r="V4467" s="3" t="s">
        <v>7049</v>
      </c>
      <c r="W4467" s="45" t="str">
        <f>HYPERLINK("http://ictvonline.org/taxonomy/p/taxonomy-history?taxnode_id=201856705","ICTVonline=201856705")</f>
        <v>ICTVonline=201856705</v>
      </c>
      <c r="AA4467" s="1">
        <v>201850000</v>
      </c>
      <c r="AB4467" s="1">
        <v>34</v>
      </c>
    </row>
    <row r="4468" spans="1:28" x14ac:dyDescent="0.15">
      <c r="A4468" s="1">
        <v>11178</v>
      </c>
      <c r="L4468" s="1" t="s">
        <v>2091</v>
      </c>
      <c r="N4468" s="1" t="s">
        <v>2092</v>
      </c>
      <c r="P4468" s="1" t="s">
        <v>1473</v>
      </c>
      <c r="Q4468" s="3">
        <v>0</v>
      </c>
      <c r="S4468" s="23" t="s">
        <v>5949</v>
      </c>
      <c r="W4468" s="45" t="str">
        <f>HYPERLINK("http://ictvonline.org/taxonomy/p/taxonomy-history?taxnode_id=201853312","ICTVonline=201853312")</f>
        <v>ICTVonline=201853312</v>
      </c>
      <c r="AA4468" s="1">
        <v>201850000</v>
      </c>
      <c r="AB4468" s="1">
        <v>34</v>
      </c>
    </row>
    <row r="4469" spans="1:28" x14ac:dyDescent="0.15">
      <c r="A4469" s="1">
        <v>11180</v>
      </c>
      <c r="L4469" s="1" t="s">
        <v>2091</v>
      </c>
      <c r="N4469" s="1" t="s">
        <v>2092</v>
      </c>
      <c r="P4469" s="1" t="s">
        <v>7062</v>
      </c>
      <c r="Q4469" s="3">
        <v>0</v>
      </c>
      <c r="S4469" s="23" t="s">
        <v>5949</v>
      </c>
      <c r="T4469" s="23" t="s">
        <v>4929</v>
      </c>
      <c r="U4469" s="3">
        <v>34</v>
      </c>
      <c r="V4469" s="3" t="s">
        <v>7049</v>
      </c>
      <c r="W4469" s="45" t="str">
        <f>HYPERLINK("http://ictvonline.org/taxonomy/p/taxonomy-history?taxnode_id=201856706","ICTVonline=201856706")</f>
        <v>ICTVonline=201856706</v>
      </c>
      <c r="AA4469" s="1">
        <v>201850000</v>
      </c>
      <c r="AB4469" s="1">
        <v>34</v>
      </c>
    </row>
    <row r="4470" spans="1:28" x14ac:dyDescent="0.15">
      <c r="A4470" s="1">
        <v>11182</v>
      </c>
      <c r="L4470" s="1" t="s">
        <v>2091</v>
      </c>
      <c r="N4470" s="1" t="s">
        <v>2092</v>
      </c>
      <c r="P4470" s="1" t="s">
        <v>5406</v>
      </c>
      <c r="Q4470" s="3">
        <v>0</v>
      </c>
      <c r="S4470" s="23" t="s">
        <v>5949</v>
      </c>
      <c r="W4470" s="45" t="str">
        <f>HYPERLINK("http://ictvonline.org/taxonomy/p/taxonomy-history?taxnode_id=201855821","ICTVonline=201855821")</f>
        <v>ICTVonline=201855821</v>
      </c>
      <c r="AA4470" s="1">
        <v>201850000</v>
      </c>
      <c r="AB4470" s="1">
        <v>34</v>
      </c>
    </row>
    <row r="4471" spans="1:28" x14ac:dyDescent="0.15">
      <c r="A4471" s="1">
        <v>11184</v>
      </c>
      <c r="L4471" s="1" t="s">
        <v>2091</v>
      </c>
      <c r="N4471" s="1" t="s">
        <v>2092</v>
      </c>
      <c r="P4471" s="1" t="s">
        <v>3793</v>
      </c>
      <c r="Q4471" s="3">
        <v>0</v>
      </c>
      <c r="S4471" s="23" t="s">
        <v>5949</v>
      </c>
      <c r="W4471" s="45" t="str">
        <f>HYPERLINK("http://ictvonline.org/taxonomy/p/taxonomy-history?taxnode_id=201853313","ICTVonline=201853313")</f>
        <v>ICTVonline=201853313</v>
      </c>
      <c r="AA4471" s="1">
        <v>201850000</v>
      </c>
      <c r="AB4471" s="1">
        <v>34</v>
      </c>
    </row>
    <row r="4472" spans="1:28" x14ac:dyDescent="0.15">
      <c r="A4472" s="1">
        <v>11186</v>
      </c>
      <c r="L4472" s="1" t="s">
        <v>2091</v>
      </c>
      <c r="N4472" s="1" t="s">
        <v>2092</v>
      </c>
      <c r="P4472" s="1" t="s">
        <v>1474</v>
      </c>
      <c r="Q4472" s="3">
        <v>0</v>
      </c>
      <c r="S4472" s="23" t="s">
        <v>5949</v>
      </c>
      <c r="W4472" s="45" t="str">
        <f>HYPERLINK("http://ictvonline.org/taxonomy/p/taxonomy-history?taxnode_id=201853314","ICTVonline=201853314")</f>
        <v>ICTVonline=201853314</v>
      </c>
      <c r="AA4472" s="1">
        <v>201850000</v>
      </c>
      <c r="AB4472" s="1">
        <v>34</v>
      </c>
    </row>
    <row r="4473" spans="1:28" x14ac:dyDescent="0.15">
      <c r="A4473" s="1">
        <v>11188</v>
      </c>
      <c r="L4473" s="1" t="s">
        <v>2091</v>
      </c>
      <c r="N4473" s="1" t="s">
        <v>2092</v>
      </c>
      <c r="P4473" s="1" t="s">
        <v>1475</v>
      </c>
      <c r="Q4473" s="3">
        <v>0</v>
      </c>
      <c r="S4473" s="23" t="s">
        <v>5949</v>
      </c>
      <c r="W4473" s="45" t="str">
        <f>HYPERLINK("http://ictvonline.org/taxonomy/p/taxonomy-history?taxnode_id=201853315","ICTVonline=201853315")</f>
        <v>ICTVonline=201853315</v>
      </c>
      <c r="AA4473" s="1">
        <v>201850000</v>
      </c>
      <c r="AB4473" s="1">
        <v>34</v>
      </c>
    </row>
    <row r="4474" spans="1:28" x14ac:dyDescent="0.15">
      <c r="A4474" s="1">
        <v>11190</v>
      </c>
      <c r="L4474" s="1" t="s">
        <v>2091</v>
      </c>
      <c r="N4474" s="1" t="s">
        <v>2092</v>
      </c>
      <c r="P4474" s="1" t="s">
        <v>1476</v>
      </c>
      <c r="Q4474" s="3">
        <v>0</v>
      </c>
      <c r="S4474" s="23" t="s">
        <v>5949</v>
      </c>
      <c r="W4474" s="45" t="str">
        <f>HYPERLINK("http://ictvonline.org/taxonomy/p/taxonomy-history?taxnode_id=201853316","ICTVonline=201853316")</f>
        <v>ICTVonline=201853316</v>
      </c>
      <c r="AA4474" s="1">
        <v>201850000</v>
      </c>
      <c r="AB4474" s="1">
        <v>34</v>
      </c>
    </row>
    <row r="4475" spans="1:28" x14ac:dyDescent="0.15">
      <c r="A4475" s="1">
        <v>11192</v>
      </c>
      <c r="L4475" s="1" t="s">
        <v>2091</v>
      </c>
      <c r="N4475" s="1" t="s">
        <v>2092</v>
      </c>
      <c r="P4475" s="1" t="s">
        <v>3794</v>
      </c>
      <c r="Q4475" s="3">
        <v>0</v>
      </c>
      <c r="S4475" s="23" t="s">
        <v>5949</v>
      </c>
      <c r="W4475" s="45" t="str">
        <f>HYPERLINK("http://ictvonline.org/taxonomy/p/taxonomy-history?taxnode_id=201853317","ICTVonline=201853317")</f>
        <v>ICTVonline=201853317</v>
      </c>
      <c r="AA4475" s="1">
        <v>201850000</v>
      </c>
      <c r="AB4475" s="1">
        <v>34</v>
      </c>
    </row>
    <row r="4476" spans="1:28" x14ac:dyDescent="0.15">
      <c r="A4476" s="1">
        <v>11194</v>
      </c>
      <c r="L4476" s="1" t="s">
        <v>2091</v>
      </c>
      <c r="N4476" s="1" t="s">
        <v>2092</v>
      </c>
      <c r="P4476" s="1" t="s">
        <v>3795</v>
      </c>
      <c r="Q4476" s="3">
        <v>0</v>
      </c>
      <c r="S4476" s="23" t="s">
        <v>5949</v>
      </c>
      <c r="W4476" s="45" t="str">
        <f>HYPERLINK("http://ictvonline.org/taxonomy/p/taxonomy-history?taxnode_id=201853318","ICTVonline=201853318")</f>
        <v>ICTVonline=201853318</v>
      </c>
      <c r="AA4476" s="1">
        <v>201850000</v>
      </c>
      <c r="AB4476" s="1">
        <v>34</v>
      </c>
    </row>
    <row r="4477" spans="1:28" x14ac:dyDescent="0.15">
      <c r="A4477" s="1">
        <v>11196</v>
      </c>
      <c r="L4477" s="1" t="s">
        <v>2091</v>
      </c>
      <c r="N4477" s="1" t="s">
        <v>2092</v>
      </c>
      <c r="P4477" s="1" t="s">
        <v>7063</v>
      </c>
      <c r="Q4477" s="3">
        <v>0</v>
      </c>
      <c r="S4477" s="23" t="s">
        <v>5949</v>
      </c>
      <c r="T4477" s="23" t="s">
        <v>4929</v>
      </c>
      <c r="U4477" s="3">
        <v>34</v>
      </c>
      <c r="V4477" s="3" t="s">
        <v>7049</v>
      </c>
      <c r="W4477" s="45" t="str">
        <f>HYPERLINK("http://ictvonline.org/taxonomy/p/taxonomy-history?taxnode_id=201856707","ICTVonline=201856707")</f>
        <v>ICTVonline=201856707</v>
      </c>
      <c r="AA4477" s="1">
        <v>201850000</v>
      </c>
      <c r="AB4477" s="1">
        <v>34</v>
      </c>
    </row>
    <row r="4478" spans="1:28" x14ac:dyDescent="0.15">
      <c r="A4478" s="1">
        <v>11198</v>
      </c>
      <c r="L4478" s="1" t="s">
        <v>2091</v>
      </c>
      <c r="N4478" s="1" t="s">
        <v>2092</v>
      </c>
      <c r="P4478" s="1" t="s">
        <v>3796</v>
      </c>
      <c r="Q4478" s="3">
        <v>0</v>
      </c>
      <c r="S4478" s="23" t="s">
        <v>5949</v>
      </c>
      <c r="W4478" s="45" t="str">
        <f>HYPERLINK("http://ictvonline.org/taxonomy/p/taxonomy-history?taxnode_id=201853319","ICTVonline=201853319")</f>
        <v>ICTVonline=201853319</v>
      </c>
      <c r="AA4478" s="1">
        <v>201850000</v>
      </c>
      <c r="AB4478" s="1">
        <v>34</v>
      </c>
    </row>
    <row r="4479" spans="1:28" x14ac:dyDescent="0.15">
      <c r="A4479" s="1">
        <v>11200</v>
      </c>
      <c r="L4479" s="1" t="s">
        <v>2091</v>
      </c>
      <c r="N4479" s="1" t="s">
        <v>2092</v>
      </c>
      <c r="P4479" s="1" t="s">
        <v>1477</v>
      </c>
      <c r="Q4479" s="3">
        <v>0</v>
      </c>
      <c r="S4479" s="23" t="s">
        <v>5949</v>
      </c>
      <c r="W4479" s="45" t="str">
        <f>HYPERLINK("http://ictvonline.org/taxonomy/p/taxonomy-history?taxnode_id=201853320","ICTVonline=201853320")</f>
        <v>ICTVonline=201853320</v>
      </c>
      <c r="AA4479" s="1">
        <v>201850000</v>
      </c>
      <c r="AB4479" s="1">
        <v>34</v>
      </c>
    </row>
    <row r="4480" spans="1:28" x14ac:dyDescent="0.15">
      <c r="A4480" s="1">
        <v>11202</v>
      </c>
      <c r="L4480" s="1" t="s">
        <v>2091</v>
      </c>
      <c r="N4480" s="1" t="s">
        <v>2092</v>
      </c>
      <c r="P4480" s="1" t="s">
        <v>1478</v>
      </c>
      <c r="Q4480" s="3">
        <v>0</v>
      </c>
      <c r="S4480" s="23" t="s">
        <v>5949</v>
      </c>
      <c r="W4480" s="45" t="str">
        <f>HYPERLINK("http://ictvonline.org/taxonomy/p/taxonomy-history?taxnode_id=201853321","ICTVonline=201853321")</f>
        <v>ICTVonline=201853321</v>
      </c>
      <c r="AA4480" s="1">
        <v>201850000</v>
      </c>
      <c r="AB4480" s="1">
        <v>34</v>
      </c>
    </row>
    <row r="4481" spans="1:28" x14ac:dyDescent="0.15">
      <c r="A4481" s="1">
        <v>11204</v>
      </c>
      <c r="L4481" s="1" t="s">
        <v>2091</v>
      </c>
      <c r="N4481" s="1" t="s">
        <v>2092</v>
      </c>
      <c r="P4481" s="1" t="s">
        <v>5407</v>
      </c>
      <c r="Q4481" s="3">
        <v>0</v>
      </c>
      <c r="S4481" s="23" t="s">
        <v>5949</v>
      </c>
      <c r="W4481" s="45" t="str">
        <f>HYPERLINK("http://ictvonline.org/taxonomy/p/taxonomy-history?taxnode_id=201855822","ICTVonline=201855822")</f>
        <v>ICTVonline=201855822</v>
      </c>
      <c r="AA4481" s="1">
        <v>201850000</v>
      </c>
      <c r="AB4481" s="1">
        <v>34</v>
      </c>
    </row>
    <row r="4482" spans="1:28" x14ac:dyDescent="0.15">
      <c r="A4482" s="1">
        <v>11206</v>
      </c>
      <c r="L4482" s="1" t="s">
        <v>2091</v>
      </c>
      <c r="N4482" s="1" t="s">
        <v>2092</v>
      </c>
      <c r="P4482" s="1" t="s">
        <v>2416</v>
      </c>
      <c r="Q4482" s="3">
        <v>0</v>
      </c>
      <c r="S4482" s="23" t="s">
        <v>5949</v>
      </c>
      <c r="W4482" s="45" t="str">
        <f>HYPERLINK("http://ictvonline.org/taxonomy/p/taxonomy-history?taxnode_id=201853322","ICTVonline=201853322")</f>
        <v>ICTVonline=201853322</v>
      </c>
      <c r="AA4482" s="1">
        <v>201850000</v>
      </c>
      <c r="AB4482" s="1">
        <v>34</v>
      </c>
    </row>
    <row r="4483" spans="1:28" x14ac:dyDescent="0.15">
      <c r="A4483" s="1">
        <v>11208</v>
      </c>
      <c r="L4483" s="1" t="s">
        <v>2091</v>
      </c>
      <c r="N4483" s="1" t="s">
        <v>2092</v>
      </c>
      <c r="P4483" s="1" t="s">
        <v>1837</v>
      </c>
      <c r="Q4483" s="3">
        <v>0</v>
      </c>
      <c r="S4483" s="23" t="s">
        <v>5949</v>
      </c>
      <c r="W4483" s="45" t="str">
        <f>HYPERLINK("http://ictvonline.org/taxonomy/p/taxonomy-history?taxnode_id=201853323","ICTVonline=201853323")</f>
        <v>ICTVonline=201853323</v>
      </c>
      <c r="AA4483" s="1">
        <v>201850000</v>
      </c>
      <c r="AB4483" s="1">
        <v>34</v>
      </c>
    </row>
    <row r="4484" spans="1:28" x14ac:dyDescent="0.15">
      <c r="A4484" s="1">
        <v>11210</v>
      </c>
      <c r="L4484" s="1" t="s">
        <v>2091</v>
      </c>
      <c r="N4484" s="1" t="s">
        <v>2092</v>
      </c>
      <c r="P4484" s="1" t="s">
        <v>1838</v>
      </c>
      <c r="Q4484" s="3">
        <v>0</v>
      </c>
      <c r="S4484" s="23" t="s">
        <v>5949</v>
      </c>
      <c r="W4484" s="45" t="str">
        <f>HYPERLINK("http://ictvonline.org/taxonomy/p/taxonomy-history?taxnode_id=201853324","ICTVonline=201853324")</f>
        <v>ICTVonline=201853324</v>
      </c>
      <c r="AA4484" s="1">
        <v>201850000</v>
      </c>
      <c r="AB4484" s="1">
        <v>34</v>
      </c>
    </row>
    <row r="4485" spans="1:28" x14ac:dyDescent="0.15">
      <c r="A4485" s="1">
        <v>11212</v>
      </c>
      <c r="L4485" s="1" t="s">
        <v>2091</v>
      </c>
      <c r="N4485" s="1" t="s">
        <v>2092</v>
      </c>
      <c r="P4485" s="1" t="s">
        <v>2417</v>
      </c>
      <c r="Q4485" s="3">
        <v>0</v>
      </c>
      <c r="S4485" s="23" t="s">
        <v>5949</v>
      </c>
      <c r="W4485" s="45" t="str">
        <f>HYPERLINK("http://ictvonline.org/taxonomy/p/taxonomy-history?taxnode_id=201853326","ICTVonline=201853326")</f>
        <v>ICTVonline=201853326</v>
      </c>
      <c r="AA4485" s="1">
        <v>201850000</v>
      </c>
      <c r="AB4485" s="1">
        <v>34</v>
      </c>
    </row>
    <row r="4486" spans="1:28" x14ac:dyDescent="0.15">
      <c r="A4486" s="1">
        <v>11214</v>
      </c>
      <c r="L4486" s="1" t="s">
        <v>2091</v>
      </c>
      <c r="N4486" s="1" t="s">
        <v>2092</v>
      </c>
      <c r="P4486" s="1" t="s">
        <v>2418</v>
      </c>
      <c r="Q4486" s="3">
        <v>0</v>
      </c>
      <c r="S4486" s="23" t="s">
        <v>5949</v>
      </c>
      <c r="W4486" s="45" t="str">
        <f>HYPERLINK("http://ictvonline.org/taxonomy/p/taxonomy-history?taxnode_id=201853327","ICTVonline=201853327")</f>
        <v>ICTVonline=201853327</v>
      </c>
      <c r="AA4486" s="1">
        <v>201850000</v>
      </c>
      <c r="AB4486" s="1">
        <v>34</v>
      </c>
    </row>
    <row r="4487" spans="1:28" x14ac:dyDescent="0.15">
      <c r="A4487" s="1">
        <v>11216</v>
      </c>
      <c r="L4487" s="1" t="s">
        <v>2091</v>
      </c>
      <c r="N4487" s="1" t="s">
        <v>2092</v>
      </c>
      <c r="P4487" s="1" t="s">
        <v>3797</v>
      </c>
      <c r="Q4487" s="3">
        <v>0</v>
      </c>
      <c r="S4487" s="23" t="s">
        <v>5949</v>
      </c>
      <c r="W4487" s="45" t="str">
        <f>HYPERLINK("http://ictvonline.org/taxonomy/p/taxonomy-history?taxnode_id=201853328","ICTVonline=201853328")</f>
        <v>ICTVonline=201853328</v>
      </c>
      <c r="AA4487" s="1">
        <v>201850000</v>
      </c>
      <c r="AB4487" s="1">
        <v>34</v>
      </c>
    </row>
    <row r="4488" spans="1:28" x14ac:dyDescent="0.15">
      <c r="A4488" s="1">
        <v>11218</v>
      </c>
      <c r="L4488" s="1" t="s">
        <v>2091</v>
      </c>
      <c r="N4488" s="1" t="s">
        <v>2092</v>
      </c>
      <c r="P4488" s="1" t="s">
        <v>2419</v>
      </c>
      <c r="Q4488" s="3">
        <v>0</v>
      </c>
      <c r="S4488" s="23" t="s">
        <v>5949</v>
      </c>
      <c r="W4488" s="45" t="str">
        <f>HYPERLINK("http://ictvonline.org/taxonomy/p/taxonomy-history?taxnode_id=201853329","ICTVonline=201853329")</f>
        <v>ICTVonline=201853329</v>
      </c>
      <c r="AA4488" s="1">
        <v>201850000</v>
      </c>
      <c r="AB4488" s="1">
        <v>34</v>
      </c>
    </row>
    <row r="4489" spans="1:28" x14ac:dyDescent="0.15">
      <c r="A4489" s="1">
        <v>11220</v>
      </c>
      <c r="L4489" s="1" t="s">
        <v>2091</v>
      </c>
      <c r="N4489" s="1" t="s">
        <v>2092</v>
      </c>
      <c r="P4489" s="1" t="s">
        <v>2420</v>
      </c>
      <c r="Q4489" s="3">
        <v>0</v>
      </c>
      <c r="S4489" s="23" t="s">
        <v>5949</v>
      </c>
      <c r="W4489" s="45" t="str">
        <f>HYPERLINK("http://ictvonline.org/taxonomy/p/taxonomy-history?taxnode_id=201853330","ICTVonline=201853330")</f>
        <v>ICTVonline=201853330</v>
      </c>
      <c r="AA4489" s="1">
        <v>201850000</v>
      </c>
      <c r="AB4489" s="1">
        <v>34</v>
      </c>
    </row>
    <row r="4490" spans="1:28" x14ac:dyDescent="0.15">
      <c r="A4490" s="1">
        <v>11222</v>
      </c>
      <c r="L4490" s="1" t="s">
        <v>2091</v>
      </c>
      <c r="N4490" s="1" t="s">
        <v>2092</v>
      </c>
      <c r="P4490" s="1" t="s">
        <v>3798</v>
      </c>
      <c r="Q4490" s="3">
        <v>0</v>
      </c>
      <c r="S4490" s="23" t="s">
        <v>5949</v>
      </c>
      <c r="W4490" s="45" t="str">
        <f>HYPERLINK("http://ictvonline.org/taxonomy/p/taxonomy-history?taxnode_id=201853331","ICTVonline=201853331")</f>
        <v>ICTVonline=201853331</v>
      </c>
      <c r="AA4490" s="1">
        <v>201850000</v>
      </c>
      <c r="AB4490" s="1">
        <v>34</v>
      </c>
    </row>
    <row r="4491" spans="1:28" x14ac:dyDescent="0.15">
      <c r="A4491" s="1">
        <v>11224</v>
      </c>
      <c r="L4491" s="1" t="s">
        <v>2091</v>
      </c>
      <c r="N4491" s="1" t="s">
        <v>2092</v>
      </c>
      <c r="P4491" s="1" t="s">
        <v>816</v>
      </c>
      <c r="Q4491" s="3">
        <v>0</v>
      </c>
      <c r="S4491" s="23" t="s">
        <v>5949</v>
      </c>
      <c r="W4491" s="45" t="str">
        <f>HYPERLINK("http://ictvonline.org/taxonomy/p/taxonomy-history?taxnode_id=201853332","ICTVonline=201853332")</f>
        <v>ICTVonline=201853332</v>
      </c>
      <c r="AA4491" s="1">
        <v>201850000</v>
      </c>
      <c r="AB4491" s="1">
        <v>34</v>
      </c>
    </row>
    <row r="4492" spans="1:28" x14ac:dyDescent="0.15">
      <c r="A4492" s="1">
        <v>11226</v>
      </c>
      <c r="L4492" s="1" t="s">
        <v>2091</v>
      </c>
      <c r="N4492" s="1" t="s">
        <v>2092</v>
      </c>
      <c r="P4492" s="1" t="s">
        <v>5408</v>
      </c>
      <c r="Q4492" s="3">
        <v>0</v>
      </c>
      <c r="S4492" s="23" t="s">
        <v>5949</v>
      </c>
      <c r="W4492" s="45" t="str">
        <f>HYPERLINK("http://ictvonline.org/taxonomy/p/taxonomy-history?taxnode_id=201855823","ICTVonline=201855823")</f>
        <v>ICTVonline=201855823</v>
      </c>
      <c r="AA4492" s="1">
        <v>201850000</v>
      </c>
      <c r="AB4492" s="1">
        <v>34</v>
      </c>
    </row>
    <row r="4493" spans="1:28" x14ac:dyDescent="0.15">
      <c r="A4493" s="1">
        <v>11228</v>
      </c>
      <c r="L4493" s="1" t="s">
        <v>2091</v>
      </c>
      <c r="N4493" s="1" t="s">
        <v>2092</v>
      </c>
      <c r="P4493" s="1" t="s">
        <v>5409</v>
      </c>
      <c r="Q4493" s="3">
        <v>0</v>
      </c>
      <c r="S4493" s="23" t="s">
        <v>5949</v>
      </c>
      <c r="W4493" s="45" t="str">
        <f>HYPERLINK("http://ictvonline.org/taxonomy/p/taxonomy-history?taxnode_id=201855824","ICTVonline=201855824")</f>
        <v>ICTVonline=201855824</v>
      </c>
      <c r="AA4493" s="1">
        <v>201850000</v>
      </c>
      <c r="AB4493" s="1">
        <v>34</v>
      </c>
    </row>
    <row r="4494" spans="1:28" x14ac:dyDescent="0.15">
      <c r="A4494" s="1">
        <v>11230</v>
      </c>
      <c r="L4494" s="1" t="s">
        <v>2091</v>
      </c>
      <c r="N4494" s="1" t="s">
        <v>2092</v>
      </c>
      <c r="P4494" s="1" t="s">
        <v>5410</v>
      </c>
      <c r="Q4494" s="3">
        <v>0</v>
      </c>
      <c r="S4494" s="23" t="s">
        <v>5949</v>
      </c>
      <c r="W4494" s="45" t="str">
        <f>HYPERLINK("http://ictvonline.org/taxonomy/p/taxonomy-history?taxnode_id=201855825","ICTVonline=201855825")</f>
        <v>ICTVonline=201855825</v>
      </c>
      <c r="AA4494" s="1">
        <v>201850000</v>
      </c>
      <c r="AB4494" s="1">
        <v>34</v>
      </c>
    </row>
    <row r="4495" spans="1:28" x14ac:dyDescent="0.15">
      <c r="A4495" s="1">
        <v>11232</v>
      </c>
      <c r="L4495" s="1" t="s">
        <v>2091</v>
      </c>
      <c r="N4495" s="1" t="s">
        <v>2092</v>
      </c>
      <c r="P4495" s="1" t="s">
        <v>5411</v>
      </c>
      <c r="Q4495" s="3">
        <v>0</v>
      </c>
      <c r="S4495" s="23" t="s">
        <v>5949</v>
      </c>
      <c r="W4495" s="45" t="str">
        <f>HYPERLINK("http://ictvonline.org/taxonomy/p/taxonomy-history?taxnode_id=201855826","ICTVonline=201855826")</f>
        <v>ICTVonline=201855826</v>
      </c>
      <c r="AA4495" s="1">
        <v>201850000</v>
      </c>
      <c r="AB4495" s="1">
        <v>34</v>
      </c>
    </row>
    <row r="4496" spans="1:28" x14ac:dyDescent="0.15">
      <c r="A4496" s="1">
        <v>11234</v>
      </c>
      <c r="L4496" s="1" t="s">
        <v>2091</v>
      </c>
      <c r="N4496" s="1" t="s">
        <v>2092</v>
      </c>
      <c r="P4496" s="1" t="s">
        <v>5412</v>
      </c>
      <c r="Q4496" s="3">
        <v>0</v>
      </c>
      <c r="S4496" s="23" t="s">
        <v>5949</v>
      </c>
      <c r="W4496" s="45" t="str">
        <f>HYPERLINK("http://ictvonline.org/taxonomy/p/taxonomy-history?taxnode_id=201855827","ICTVonline=201855827")</f>
        <v>ICTVonline=201855827</v>
      </c>
      <c r="AA4496" s="1">
        <v>201850000</v>
      </c>
      <c r="AB4496" s="1">
        <v>34</v>
      </c>
    </row>
    <row r="4497" spans="1:28" x14ac:dyDescent="0.15">
      <c r="A4497" s="1">
        <v>11236</v>
      </c>
      <c r="L4497" s="1" t="s">
        <v>2091</v>
      </c>
      <c r="N4497" s="1" t="s">
        <v>2092</v>
      </c>
      <c r="P4497" s="1" t="s">
        <v>3799</v>
      </c>
      <c r="Q4497" s="3">
        <v>0</v>
      </c>
      <c r="S4497" s="23" t="s">
        <v>5949</v>
      </c>
      <c r="W4497" s="45" t="str">
        <f>HYPERLINK("http://ictvonline.org/taxonomy/p/taxonomy-history?taxnode_id=201853333","ICTVonline=201853333")</f>
        <v>ICTVonline=201853333</v>
      </c>
      <c r="AA4497" s="1">
        <v>201850000</v>
      </c>
      <c r="AB4497" s="1">
        <v>34</v>
      </c>
    </row>
    <row r="4498" spans="1:28" x14ac:dyDescent="0.15">
      <c r="A4498" s="1">
        <v>11238</v>
      </c>
      <c r="L4498" s="1" t="s">
        <v>2091</v>
      </c>
      <c r="N4498" s="1" t="s">
        <v>2092</v>
      </c>
      <c r="P4498" s="1" t="s">
        <v>3800</v>
      </c>
      <c r="Q4498" s="3">
        <v>0</v>
      </c>
      <c r="S4498" s="23" t="s">
        <v>5949</v>
      </c>
      <c r="W4498" s="45" t="str">
        <f>HYPERLINK("http://ictvonline.org/taxonomy/p/taxonomy-history?taxnode_id=201853334","ICTVonline=201853334")</f>
        <v>ICTVonline=201853334</v>
      </c>
      <c r="AA4498" s="1">
        <v>201850000</v>
      </c>
      <c r="AB4498" s="1">
        <v>34</v>
      </c>
    </row>
    <row r="4499" spans="1:28" x14ac:dyDescent="0.15">
      <c r="A4499" s="1">
        <v>11240</v>
      </c>
      <c r="L4499" s="1" t="s">
        <v>2091</v>
      </c>
      <c r="N4499" s="1" t="s">
        <v>2092</v>
      </c>
      <c r="P4499" s="1" t="s">
        <v>2421</v>
      </c>
      <c r="Q4499" s="3">
        <v>0</v>
      </c>
      <c r="S4499" s="23" t="s">
        <v>5949</v>
      </c>
      <c r="W4499" s="45" t="str">
        <f>HYPERLINK("http://ictvonline.org/taxonomy/p/taxonomy-history?taxnode_id=201853335","ICTVonline=201853335")</f>
        <v>ICTVonline=201853335</v>
      </c>
      <c r="AA4499" s="1">
        <v>201850000</v>
      </c>
      <c r="AB4499" s="1">
        <v>34</v>
      </c>
    </row>
    <row r="4500" spans="1:28" x14ac:dyDescent="0.15">
      <c r="A4500" s="1">
        <v>11242</v>
      </c>
      <c r="L4500" s="1" t="s">
        <v>2091</v>
      </c>
      <c r="N4500" s="1" t="s">
        <v>2092</v>
      </c>
      <c r="P4500" s="1" t="s">
        <v>3801</v>
      </c>
      <c r="Q4500" s="3">
        <v>0</v>
      </c>
      <c r="S4500" s="23" t="s">
        <v>5949</v>
      </c>
      <c r="W4500" s="45" t="str">
        <f>HYPERLINK("http://ictvonline.org/taxonomy/p/taxonomy-history?taxnode_id=201853336","ICTVonline=201853336")</f>
        <v>ICTVonline=201853336</v>
      </c>
      <c r="AA4500" s="1">
        <v>201850000</v>
      </c>
      <c r="AB4500" s="1">
        <v>34</v>
      </c>
    </row>
    <row r="4501" spans="1:28" x14ac:dyDescent="0.15">
      <c r="A4501" s="1">
        <v>11244</v>
      </c>
      <c r="L4501" s="1" t="s">
        <v>2091</v>
      </c>
      <c r="N4501" s="1" t="s">
        <v>2092</v>
      </c>
      <c r="P4501" s="1" t="s">
        <v>2422</v>
      </c>
      <c r="Q4501" s="3">
        <v>0</v>
      </c>
      <c r="S4501" s="23" t="s">
        <v>5949</v>
      </c>
      <c r="W4501" s="45" t="str">
        <f>HYPERLINK("http://ictvonline.org/taxonomy/p/taxonomy-history?taxnode_id=201853337","ICTVonline=201853337")</f>
        <v>ICTVonline=201853337</v>
      </c>
      <c r="AA4501" s="1">
        <v>201850000</v>
      </c>
      <c r="AB4501" s="1">
        <v>34</v>
      </c>
    </row>
    <row r="4502" spans="1:28" x14ac:dyDescent="0.15">
      <c r="A4502" s="1">
        <v>11246</v>
      </c>
      <c r="L4502" s="1" t="s">
        <v>2091</v>
      </c>
      <c r="N4502" s="1" t="s">
        <v>2092</v>
      </c>
      <c r="P4502" s="1" t="s">
        <v>817</v>
      </c>
      <c r="Q4502" s="3">
        <v>0</v>
      </c>
      <c r="S4502" s="23" t="s">
        <v>5949</v>
      </c>
      <c r="W4502" s="45" t="str">
        <f>HYPERLINK("http://ictvonline.org/taxonomy/p/taxonomy-history?taxnode_id=201853338","ICTVonline=201853338")</f>
        <v>ICTVonline=201853338</v>
      </c>
      <c r="AA4502" s="1">
        <v>201850000</v>
      </c>
      <c r="AB4502" s="1">
        <v>34</v>
      </c>
    </row>
    <row r="4503" spans="1:28" x14ac:dyDescent="0.15">
      <c r="A4503" s="1">
        <v>11248</v>
      </c>
      <c r="L4503" s="1" t="s">
        <v>2091</v>
      </c>
      <c r="N4503" s="1" t="s">
        <v>2092</v>
      </c>
      <c r="P4503" s="1" t="s">
        <v>818</v>
      </c>
      <c r="Q4503" s="3">
        <v>0</v>
      </c>
      <c r="S4503" s="23" t="s">
        <v>5949</v>
      </c>
      <c r="W4503" s="45" t="str">
        <f>HYPERLINK("http://ictvonline.org/taxonomy/p/taxonomy-history?taxnode_id=201853339","ICTVonline=201853339")</f>
        <v>ICTVonline=201853339</v>
      </c>
      <c r="AA4503" s="1">
        <v>201850000</v>
      </c>
      <c r="AB4503" s="1">
        <v>34</v>
      </c>
    </row>
    <row r="4504" spans="1:28" x14ac:dyDescent="0.15">
      <c r="A4504" s="1">
        <v>11250</v>
      </c>
      <c r="L4504" s="1" t="s">
        <v>2091</v>
      </c>
      <c r="N4504" s="1" t="s">
        <v>2092</v>
      </c>
      <c r="P4504" s="1" t="s">
        <v>3802</v>
      </c>
      <c r="Q4504" s="3">
        <v>0</v>
      </c>
      <c r="S4504" s="23" t="s">
        <v>5949</v>
      </c>
      <c r="W4504" s="45" t="str">
        <f>HYPERLINK("http://ictvonline.org/taxonomy/p/taxonomy-history?taxnode_id=201853340","ICTVonline=201853340")</f>
        <v>ICTVonline=201853340</v>
      </c>
      <c r="AA4504" s="1">
        <v>201850000</v>
      </c>
      <c r="AB4504" s="1">
        <v>34</v>
      </c>
    </row>
    <row r="4505" spans="1:28" x14ac:dyDescent="0.15">
      <c r="A4505" s="1">
        <v>11252</v>
      </c>
      <c r="L4505" s="1" t="s">
        <v>2091</v>
      </c>
      <c r="N4505" s="1" t="s">
        <v>2092</v>
      </c>
      <c r="P4505" s="1" t="s">
        <v>819</v>
      </c>
      <c r="Q4505" s="3">
        <v>0</v>
      </c>
      <c r="S4505" s="23" t="s">
        <v>5949</v>
      </c>
      <c r="W4505" s="45" t="str">
        <f>HYPERLINK("http://ictvonline.org/taxonomy/p/taxonomy-history?taxnode_id=201853341","ICTVonline=201853341")</f>
        <v>ICTVonline=201853341</v>
      </c>
      <c r="AA4505" s="1">
        <v>201850000</v>
      </c>
      <c r="AB4505" s="1">
        <v>34</v>
      </c>
    </row>
    <row r="4506" spans="1:28" x14ac:dyDescent="0.15">
      <c r="A4506" s="1">
        <v>11254</v>
      </c>
      <c r="L4506" s="1" t="s">
        <v>2091</v>
      </c>
      <c r="N4506" s="1" t="s">
        <v>2092</v>
      </c>
      <c r="P4506" s="1" t="s">
        <v>2423</v>
      </c>
      <c r="Q4506" s="3">
        <v>0</v>
      </c>
      <c r="S4506" s="23" t="s">
        <v>5949</v>
      </c>
      <c r="W4506" s="45" t="str">
        <f>HYPERLINK("http://ictvonline.org/taxonomy/p/taxonomy-history?taxnode_id=201853342","ICTVonline=201853342")</f>
        <v>ICTVonline=201853342</v>
      </c>
      <c r="AA4506" s="1">
        <v>201850000</v>
      </c>
      <c r="AB4506" s="1">
        <v>34</v>
      </c>
    </row>
    <row r="4507" spans="1:28" x14ac:dyDescent="0.15">
      <c r="A4507" s="1">
        <v>11256</v>
      </c>
      <c r="L4507" s="1" t="s">
        <v>2091</v>
      </c>
      <c r="N4507" s="1" t="s">
        <v>2092</v>
      </c>
      <c r="P4507" s="1" t="s">
        <v>5413</v>
      </c>
      <c r="Q4507" s="3">
        <v>0</v>
      </c>
      <c r="S4507" s="23" t="s">
        <v>5949</v>
      </c>
      <c r="W4507" s="45" t="str">
        <f>HYPERLINK("http://ictvonline.org/taxonomy/p/taxonomy-history?taxnode_id=201855828","ICTVonline=201855828")</f>
        <v>ICTVonline=201855828</v>
      </c>
      <c r="AA4507" s="1">
        <v>201850000</v>
      </c>
      <c r="AB4507" s="1">
        <v>34</v>
      </c>
    </row>
    <row r="4508" spans="1:28" x14ac:dyDescent="0.15">
      <c r="A4508" s="1">
        <v>11258</v>
      </c>
      <c r="L4508" s="1" t="s">
        <v>2091</v>
      </c>
      <c r="N4508" s="1" t="s">
        <v>2092</v>
      </c>
      <c r="P4508" s="1" t="s">
        <v>820</v>
      </c>
      <c r="Q4508" s="3">
        <v>0</v>
      </c>
      <c r="S4508" s="23" t="s">
        <v>5949</v>
      </c>
      <c r="W4508" s="45" t="str">
        <f>HYPERLINK("http://ictvonline.org/taxonomy/p/taxonomy-history?taxnode_id=201853343","ICTVonline=201853343")</f>
        <v>ICTVonline=201853343</v>
      </c>
      <c r="AA4508" s="1">
        <v>201850000</v>
      </c>
      <c r="AB4508" s="1">
        <v>34</v>
      </c>
    </row>
    <row r="4509" spans="1:28" x14ac:dyDescent="0.15">
      <c r="A4509" s="1">
        <v>11260</v>
      </c>
      <c r="L4509" s="1" t="s">
        <v>2091</v>
      </c>
      <c r="N4509" s="1" t="s">
        <v>2092</v>
      </c>
      <c r="P4509" s="1" t="s">
        <v>821</v>
      </c>
      <c r="Q4509" s="3">
        <v>0</v>
      </c>
      <c r="S4509" s="23" t="s">
        <v>5949</v>
      </c>
      <c r="W4509" s="45" t="str">
        <f>HYPERLINK("http://ictvonline.org/taxonomy/p/taxonomy-history?taxnode_id=201853344","ICTVonline=201853344")</f>
        <v>ICTVonline=201853344</v>
      </c>
      <c r="AA4509" s="1">
        <v>201850000</v>
      </c>
      <c r="AB4509" s="1">
        <v>34</v>
      </c>
    </row>
    <row r="4510" spans="1:28" x14ac:dyDescent="0.15">
      <c r="A4510" s="1">
        <v>11262</v>
      </c>
      <c r="L4510" s="1" t="s">
        <v>2091</v>
      </c>
      <c r="N4510" s="1" t="s">
        <v>2092</v>
      </c>
      <c r="P4510" s="1" t="s">
        <v>822</v>
      </c>
      <c r="Q4510" s="3">
        <v>0</v>
      </c>
      <c r="S4510" s="23" t="s">
        <v>5949</v>
      </c>
      <c r="W4510" s="45" t="str">
        <f>HYPERLINK("http://ictvonline.org/taxonomy/p/taxonomy-history?taxnode_id=201853345","ICTVonline=201853345")</f>
        <v>ICTVonline=201853345</v>
      </c>
      <c r="AA4510" s="1">
        <v>201850000</v>
      </c>
      <c r="AB4510" s="1">
        <v>34</v>
      </c>
    </row>
    <row r="4511" spans="1:28" x14ac:dyDescent="0.15">
      <c r="A4511" s="1">
        <v>11264</v>
      </c>
      <c r="L4511" s="1" t="s">
        <v>2091</v>
      </c>
      <c r="N4511" s="1" t="s">
        <v>2092</v>
      </c>
      <c r="P4511" s="1" t="s">
        <v>2424</v>
      </c>
      <c r="Q4511" s="3">
        <v>0</v>
      </c>
      <c r="S4511" s="23" t="s">
        <v>5949</v>
      </c>
      <c r="W4511" s="45" t="str">
        <f>HYPERLINK("http://ictvonline.org/taxonomy/p/taxonomy-history?taxnode_id=201853346","ICTVonline=201853346")</f>
        <v>ICTVonline=201853346</v>
      </c>
      <c r="AA4511" s="1">
        <v>201850000</v>
      </c>
      <c r="AB4511" s="1">
        <v>34</v>
      </c>
    </row>
    <row r="4512" spans="1:28" x14ac:dyDescent="0.15">
      <c r="A4512" s="1">
        <v>11266</v>
      </c>
      <c r="L4512" s="1" t="s">
        <v>2091</v>
      </c>
      <c r="N4512" s="1" t="s">
        <v>2092</v>
      </c>
      <c r="P4512" s="1" t="s">
        <v>2425</v>
      </c>
      <c r="Q4512" s="3">
        <v>0</v>
      </c>
      <c r="S4512" s="23" t="s">
        <v>5949</v>
      </c>
      <c r="W4512" s="45" t="str">
        <f>HYPERLINK("http://ictvonline.org/taxonomy/p/taxonomy-history?taxnode_id=201853347","ICTVonline=201853347")</f>
        <v>ICTVonline=201853347</v>
      </c>
      <c r="AA4512" s="1">
        <v>201850000</v>
      </c>
      <c r="AB4512" s="1">
        <v>34</v>
      </c>
    </row>
    <row r="4513" spans="1:28" x14ac:dyDescent="0.15">
      <c r="A4513" s="1">
        <v>11268</v>
      </c>
      <c r="L4513" s="1" t="s">
        <v>2091</v>
      </c>
      <c r="N4513" s="1" t="s">
        <v>2092</v>
      </c>
      <c r="P4513" s="1" t="s">
        <v>2426</v>
      </c>
      <c r="Q4513" s="3">
        <v>0</v>
      </c>
      <c r="S4513" s="23" t="s">
        <v>5949</v>
      </c>
      <c r="W4513" s="45" t="str">
        <f>HYPERLINK("http://ictvonline.org/taxonomy/p/taxonomy-history?taxnode_id=201853348","ICTVonline=201853348")</f>
        <v>ICTVonline=201853348</v>
      </c>
      <c r="AA4513" s="1">
        <v>201850000</v>
      </c>
      <c r="AB4513" s="1">
        <v>34</v>
      </c>
    </row>
    <row r="4514" spans="1:28" x14ac:dyDescent="0.15">
      <c r="A4514" s="1">
        <v>11270</v>
      </c>
      <c r="L4514" s="1" t="s">
        <v>2091</v>
      </c>
      <c r="N4514" s="1" t="s">
        <v>2092</v>
      </c>
      <c r="P4514" s="1" t="s">
        <v>2427</v>
      </c>
      <c r="Q4514" s="3">
        <v>0</v>
      </c>
      <c r="S4514" s="23" t="s">
        <v>5949</v>
      </c>
      <c r="W4514" s="45" t="str">
        <f>HYPERLINK("http://ictvonline.org/taxonomy/p/taxonomy-history?taxnode_id=201853349","ICTVonline=201853349")</f>
        <v>ICTVonline=201853349</v>
      </c>
      <c r="AA4514" s="1">
        <v>201850000</v>
      </c>
      <c r="AB4514" s="1">
        <v>34</v>
      </c>
    </row>
    <row r="4515" spans="1:28" x14ac:dyDescent="0.15">
      <c r="A4515" s="1">
        <v>11272</v>
      </c>
      <c r="L4515" s="1" t="s">
        <v>2091</v>
      </c>
      <c r="N4515" s="1" t="s">
        <v>2092</v>
      </c>
      <c r="P4515" s="1" t="s">
        <v>2428</v>
      </c>
      <c r="Q4515" s="3">
        <v>0</v>
      </c>
      <c r="S4515" s="23" t="s">
        <v>5949</v>
      </c>
      <c r="W4515" s="45" t="str">
        <f>HYPERLINK("http://ictvonline.org/taxonomy/p/taxonomy-history?taxnode_id=201853350","ICTVonline=201853350")</f>
        <v>ICTVonline=201853350</v>
      </c>
      <c r="AA4515" s="1">
        <v>201850000</v>
      </c>
      <c r="AB4515" s="1">
        <v>34</v>
      </c>
    </row>
    <row r="4516" spans="1:28" x14ac:dyDescent="0.15">
      <c r="A4516" s="1">
        <v>11274</v>
      </c>
      <c r="L4516" s="1" t="s">
        <v>2091</v>
      </c>
      <c r="N4516" s="1" t="s">
        <v>2092</v>
      </c>
      <c r="P4516" s="1" t="s">
        <v>823</v>
      </c>
      <c r="Q4516" s="3">
        <v>0</v>
      </c>
      <c r="S4516" s="23" t="s">
        <v>5949</v>
      </c>
      <c r="W4516" s="45" t="str">
        <f>HYPERLINK("http://ictvonline.org/taxonomy/p/taxonomy-history?taxnode_id=201853351","ICTVonline=201853351")</f>
        <v>ICTVonline=201853351</v>
      </c>
      <c r="AA4516" s="1">
        <v>201850000</v>
      </c>
      <c r="AB4516" s="1">
        <v>34</v>
      </c>
    </row>
    <row r="4517" spans="1:28" x14ac:dyDescent="0.15">
      <c r="A4517" s="1">
        <v>11276</v>
      </c>
      <c r="L4517" s="1" t="s">
        <v>2091</v>
      </c>
      <c r="N4517" s="1" t="s">
        <v>2092</v>
      </c>
      <c r="P4517" s="1" t="s">
        <v>2429</v>
      </c>
      <c r="Q4517" s="3">
        <v>0</v>
      </c>
      <c r="S4517" s="23" t="s">
        <v>5949</v>
      </c>
      <c r="W4517" s="45" t="str">
        <f>HYPERLINK("http://ictvonline.org/taxonomy/p/taxonomy-history?taxnode_id=201853352","ICTVonline=201853352")</f>
        <v>ICTVonline=201853352</v>
      </c>
      <c r="AA4517" s="1">
        <v>201850000</v>
      </c>
      <c r="AB4517" s="1">
        <v>34</v>
      </c>
    </row>
    <row r="4518" spans="1:28" x14ac:dyDescent="0.15">
      <c r="A4518" s="1">
        <v>11278</v>
      </c>
      <c r="L4518" s="1" t="s">
        <v>2091</v>
      </c>
      <c r="N4518" s="1" t="s">
        <v>2092</v>
      </c>
      <c r="P4518" s="1" t="s">
        <v>3803</v>
      </c>
      <c r="Q4518" s="3">
        <v>0</v>
      </c>
      <c r="S4518" s="23" t="s">
        <v>5949</v>
      </c>
      <c r="W4518" s="45" t="str">
        <f>HYPERLINK("http://ictvonline.org/taxonomy/p/taxonomy-history?taxnode_id=201853353","ICTVonline=201853353")</f>
        <v>ICTVonline=201853353</v>
      </c>
      <c r="AA4518" s="1">
        <v>201850000</v>
      </c>
      <c r="AB4518" s="1">
        <v>34</v>
      </c>
    </row>
    <row r="4519" spans="1:28" x14ac:dyDescent="0.15">
      <c r="A4519" s="1">
        <v>11280</v>
      </c>
      <c r="L4519" s="1" t="s">
        <v>2091</v>
      </c>
      <c r="N4519" s="1" t="s">
        <v>2092</v>
      </c>
      <c r="P4519" s="1" t="s">
        <v>2430</v>
      </c>
      <c r="Q4519" s="3">
        <v>0</v>
      </c>
      <c r="S4519" s="23" t="s">
        <v>5949</v>
      </c>
      <c r="W4519" s="45" t="str">
        <f>HYPERLINK("http://ictvonline.org/taxonomy/p/taxonomy-history?taxnode_id=201853354","ICTVonline=201853354")</f>
        <v>ICTVonline=201853354</v>
      </c>
      <c r="AA4519" s="1">
        <v>201850000</v>
      </c>
      <c r="AB4519" s="1">
        <v>34</v>
      </c>
    </row>
    <row r="4520" spans="1:28" x14ac:dyDescent="0.15">
      <c r="A4520" s="1">
        <v>11282</v>
      </c>
      <c r="L4520" s="1" t="s">
        <v>2091</v>
      </c>
      <c r="N4520" s="1" t="s">
        <v>2092</v>
      </c>
      <c r="P4520" s="1" t="s">
        <v>824</v>
      </c>
      <c r="Q4520" s="3">
        <v>0</v>
      </c>
      <c r="S4520" s="23" t="s">
        <v>5949</v>
      </c>
      <c r="W4520" s="45" t="str">
        <f>HYPERLINK("http://ictvonline.org/taxonomy/p/taxonomy-history?taxnode_id=201853355","ICTVonline=201853355")</f>
        <v>ICTVonline=201853355</v>
      </c>
      <c r="AA4520" s="1">
        <v>201850000</v>
      </c>
      <c r="AB4520" s="1">
        <v>34</v>
      </c>
    </row>
    <row r="4521" spans="1:28" x14ac:dyDescent="0.15">
      <c r="A4521" s="1">
        <v>11284</v>
      </c>
      <c r="L4521" s="1" t="s">
        <v>2091</v>
      </c>
      <c r="N4521" s="1" t="s">
        <v>2092</v>
      </c>
      <c r="P4521" s="1" t="s">
        <v>825</v>
      </c>
      <c r="Q4521" s="3">
        <v>0</v>
      </c>
      <c r="S4521" s="23" t="s">
        <v>5949</v>
      </c>
      <c r="W4521" s="45" t="str">
        <f>HYPERLINK("http://ictvonline.org/taxonomy/p/taxonomy-history?taxnode_id=201853356","ICTVonline=201853356")</f>
        <v>ICTVonline=201853356</v>
      </c>
      <c r="AA4521" s="1">
        <v>201850000</v>
      </c>
      <c r="AB4521" s="1">
        <v>34</v>
      </c>
    </row>
    <row r="4522" spans="1:28" x14ac:dyDescent="0.15">
      <c r="A4522" s="1">
        <v>11286</v>
      </c>
      <c r="L4522" s="1" t="s">
        <v>2091</v>
      </c>
      <c r="N4522" s="1" t="s">
        <v>2092</v>
      </c>
      <c r="P4522" s="1" t="s">
        <v>1844</v>
      </c>
      <c r="Q4522" s="3">
        <v>0</v>
      </c>
      <c r="S4522" s="23" t="s">
        <v>5949</v>
      </c>
      <c r="W4522" s="45" t="str">
        <f>HYPERLINK("http://ictvonline.org/taxonomy/p/taxonomy-history?taxnode_id=201853357","ICTVonline=201853357")</f>
        <v>ICTVonline=201853357</v>
      </c>
      <c r="AA4522" s="1">
        <v>201850000</v>
      </c>
      <c r="AB4522" s="1">
        <v>34</v>
      </c>
    </row>
    <row r="4523" spans="1:28" x14ac:dyDescent="0.15">
      <c r="A4523" s="1">
        <v>11288</v>
      </c>
      <c r="L4523" s="1" t="s">
        <v>2091</v>
      </c>
      <c r="N4523" s="1" t="s">
        <v>2092</v>
      </c>
      <c r="P4523" s="1" t="s">
        <v>2431</v>
      </c>
      <c r="Q4523" s="3">
        <v>0</v>
      </c>
      <c r="S4523" s="23" t="s">
        <v>5949</v>
      </c>
      <c r="W4523" s="45" t="str">
        <f>HYPERLINK("http://ictvonline.org/taxonomy/p/taxonomy-history?taxnode_id=201853358","ICTVonline=201853358")</f>
        <v>ICTVonline=201853358</v>
      </c>
      <c r="AA4523" s="1">
        <v>201850000</v>
      </c>
      <c r="AB4523" s="1">
        <v>34</v>
      </c>
    </row>
    <row r="4524" spans="1:28" x14ac:dyDescent="0.15">
      <c r="A4524" s="1">
        <v>11290</v>
      </c>
      <c r="L4524" s="1" t="s">
        <v>2091</v>
      </c>
      <c r="N4524" s="1" t="s">
        <v>2092</v>
      </c>
      <c r="P4524" s="1" t="s">
        <v>2432</v>
      </c>
      <c r="Q4524" s="3">
        <v>0</v>
      </c>
      <c r="S4524" s="23" t="s">
        <v>5949</v>
      </c>
      <c r="W4524" s="45" t="str">
        <f>HYPERLINK("http://ictvonline.org/taxonomy/p/taxonomy-history?taxnode_id=201853359","ICTVonline=201853359")</f>
        <v>ICTVonline=201853359</v>
      </c>
      <c r="AA4524" s="1">
        <v>201850000</v>
      </c>
      <c r="AB4524" s="1">
        <v>34</v>
      </c>
    </row>
    <row r="4525" spans="1:28" x14ac:dyDescent="0.15">
      <c r="A4525" s="1">
        <v>11292</v>
      </c>
      <c r="L4525" s="1" t="s">
        <v>2091</v>
      </c>
      <c r="N4525" s="1" t="s">
        <v>2092</v>
      </c>
      <c r="P4525" s="1" t="s">
        <v>1845</v>
      </c>
      <c r="Q4525" s="3">
        <v>0</v>
      </c>
      <c r="S4525" s="23" t="s">
        <v>5949</v>
      </c>
      <c r="W4525" s="45" t="str">
        <f>HYPERLINK("http://ictvonline.org/taxonomy/p/taxonomy-history?taxnode_id=201853360","ICTVonline=201853360")</f>
        <v>ICTVonline=201853360</v>
      </c>
      <c r="AA4525" s="1">
        <v>201850000</v>
      </c>
      <c r="AB4525" s="1">
        <v>34</v>
      </c>
    </row>
    <row r="4526" spans="1:28" x14ac:dyDescent="0.15">
      <c r="A4526" s="1">
        <v>11294</v>
      </c>
      <c r="L4526" s="1" t="s">
        <v>2091</v>
      </c>
      <c r="N4526" s="1" t="s">
        <v>2092</v>
      </c>
      <c r="P4526" s="1" t="s">
        <v>1846</v>
      </c>
      <c r="Q4526" s="3">
        <v>0</v>
      </c>
      <c r="S4526" s="23" t="s">
        <v>5949</v>
      </c>
      <c r="W4526" s="45" t="str">
        <f>HYPERLINK("http://ictvonline.org/taxonomy/p/taxonomy-history?taxnode_id=201853361","ICTVonline=201853361")</f>
        <v>ICTVonline=201853361</v>
      </c>
      <c r="AA4526" s="1">
        <v>201850000</v>
      </c>
      <c r="AB4526" s="1">
        <v>34</v>
      </c>
    </row>
    <row r="4527" spans="1:28" x14ac:dyDescent="0.15">
      <c r="A4527" s="1">
        <v>11296</v>
      </c>
      <c r="L4527" s="1" t="s">
        <v>2091</v>
      </c>
      <c r="N4527" s="1" t="s">
        <v>2092</v>
      </c>
      <c r="P4527" s="1" t="s">
        <v>3804</v>
      </c>
      <c r="Q4527" s="3">
        <v>0</v>
      </c>
      <c r="S4527" s="23" t="s">
        <v>5949</v>
      </c>
      <c r="W4527" s="45" t="str">
        <f>HYPERLINK("http://ictvonline.org/taxonomy/p/taxonomy-history?taxnode_id=201853362","ICTVonline=201853362")</f>
        <v>ICTVonline=201853362</v>
      </c>
      <c r="AA4527" s="1">
        <v>201850000</v>
      </c>
      <c r="AB4527" s="1">
        <v>34</v>
      </c>
    </row>
    <row r="4528" spans="1:28" x14ac:dyDescent="0.15">
      <c r="A4528" s="1">
        <v>11298</v>
      </c>
      <c r="L4528" s="1" t="s">
        <v>2091</v>
      </c>
      <c r="N4528" s="1" t="s">
        <v>2092</v>
      </c>
      <c r="P4528" s="1" t="s">
        <v>1847</v>
      </c>
      <c r="Q4528" s="3">
        <v>0</v>
      </c>
      <c r="S4528" s="23" t="s">
        <v>5949</v>
      </c>
      <c r="W4528" s="45" t="str">
        <f>HYPERLINK("http://ictvonline.org/taxonomy/p/taxonomy-history?taxnode_id=201853363","ICTVonline=201853363")</f>
        <v>ICTVonline=201853363</v>
      </c>
      <c r="AA4528" s="1">
        <v>201850000</v>
      </c>
      <c r="AB4528" s="1">
        <v>34</v>
      </c>
    </row>
    <row r="4529" spans="1:28" x14ac:dyDescent="0.15">
      <c r="A4529" s="1">
        <v>11300</v>
      </c>
      <c r="L4529" s="1" t="s">
        <v>2091</v>
      </c>
      <c r="N4529" s="1" t="s">
        <v>2092</v>
      </c>
      <c r="P4529" s="1" t="s">
        <v>1848</v>
      </c>
      <c r="Q4529" s="3">
        <v>0</v>
      </c>
      <c r="S4529" s="23" t="s">
        <v>5949</v>
      </c>
      <c r="W4529" s="45" t="str">
        <f>HYPERLINK("http://ictvonline.org/taxonomy/p/taxonomy-history?taxnode_id=201853364","ICTVonline=201853364")</f>
        <v>ICTVonline=201853364</v>
      </c>
      <c r="AA4529" s="1">
        <v>201850000</v>
      </c>
      <c r="AB4529" s="1">
        <v>34</v>
      </c>
    </row>
    <row r="4530" spans="1:28" x14ac:dyDescent="0.15">
      <c r="A4530" s="1">
        <v>11302</v>
      </c>
      <c r="L4530" s="1" t="s">
        <v>2091</v>
      </c>
      <c r="N4530" s="1" t="s">
        <v>2092</v>
      </c>
      <c r="P4530" s="1" t="s">
        <v>5414</v>
      </c>
      <c r="Q4530" s="3">
        <v>0</v>
      </c>
      <c r="S4530" s="23" t="s">
        <v>5949</v>
      </c>
      <c r="W4530" s="45" t="str">
        <f>HYPERLINK("http://ictvonline.org/taxonomy/p/taxonomy-history?taxnode_id=201855829","ICTVonline=201855829")</f>
        <v>ICTVonline=201855829</v>
      </c>
      <c r="AA4530" s="1">
        <v>201850000</v>
      </c>
      <c r="AB4530" s="1">
        <v>34</v>
      </c>
    </row>
    <row r="4531" spans="1:28" x14ac:dyDescent="0.15">
      <c r="A4531" s="1">
        <v>11304</v>
      </c>
      <c r="L4531" s="1" t="s">
        <v>2091</v>
      </c>
      <c r="N4531" s="1" t="s">
        <v>2092</v>
      </c>
      <c r="P4531" s="1" t="s">
        <v>516</v>
      </c>
      <c r="Q4531" s="3">
        <v>0</v>
      </c>
      <c r="S4531" s="23" t="s">
        <v>5949</v>
      </c>
      <c r="W4531" s="45" t="str">
        <f>HYPERLINK("http://ictvonline.org/taxonomy/p/taxonomy-history?taxnode_id=201853365","ICTVonline=201853365")</f>
        <v>ICTVonline=201853365</v>
      </c>
      <c r="AA4531" s="1">
        <v>201850000</v>
      </c>
      <c r="AB4531" s="1">
        <v>34</v>
      </c>
    </row>
    <row r="4532" spans="1:28" x14ac:dyDescent="0.15">
      <c r="A4532" s="1">
        <v>11306</v>
      </c>
      <c r="L4532" s="1" t="s">
        <v>2091</v>
      </c>
      <c r="N4532" s="1" t="s">
        <v>2092</v>
      </c>
      <c r="P4532" s="1" t="s">
        <v>517</v>
      </c>
      <c r="Q4532" s="3">
        <v>0</v>
      </c>
      <c r="S4532" s="23" t="s">
        <v>5949</v>
      </c>
      <c r="W4532" s="45" t="str">
        <f>HYPERLINK("http://ictvonline.org/taxonomy/p/taxonomy-history?taxnode_id=201853366","ICTVonline=201853366")</f>
        <v>ICTVonline=201853366</v>
      </c>
      <c r="AA4532" s="1">
        <v>201850000</v>
      </c>
      <c r="AB4532" s="1">
        <v>34</v>
      </c>
    </row>
    <row r="4533" spans="1:28" x14ac:dyDescent="0.15">
      <c r="A4533" s="1">
        <v>11308</v>
      </c>
      <c r="L4533" s="1" t="s">
        <v>2091</v>
      </c>
      <c r="N4533" s="1" t="s">
        <v>2092</v>
      </c>
      <c r="P4533" s="1" t="s">
        <v>3805</v>
      </c>
      <c r="Q4533" s="3">
        <v>0</v>
      </c>
      <c r="S4533" s="23" t="s">
        <v>5949</v>
      </c>
      <c r="W4533" s="45" t="str">
        <f>HYPERLINK("http://ictvonline.org/taxonomy/p/taxonomy-history?taxnode_id=201853367","ICTVonline=201853367")</f>
        <v>ICTVonline=201853367</v>
      </c>
      <c r="AA4533" s="1">
        <v>201850000</v>
      </c>
      <c r="AB4533" s="1">
        <v>34</v>
      </c>
    </row>
    <row r="4534" spans="1:28" x14ac:dyDescent="0.15">
      <c r="A4534" s="1">
        <v>11310</v>
      </c>
      <c r="L4534" s="1" t="s">
        <v>2091</v>
      </c>
      <c r="N4534" s="1" t="s">
        <v>2092</v>
      </c>
      <c r="P4534" s="1" t="s">
        <v>2433</v>
      </c>
      <c r="Q4534" s="3">
        <v>0</v>
      </c>
      <c r="S4534" s="23" t="s">
        <v>5949</v>
      </c>
      <c r="W4534" s="45" t="str">
        <f>HYPERLINK("http://ictvonline.org/taxonomy/p/taxonomy-history?taxnode_id=201853368","ICTVonline=201853368")</f>
        <v>ICTVonline=201853368</v>
      </c>
      <c r="AA4534" s="1">
        <v>201850000</v>
      </c>
      <c r="AB4534" s="1">
        <v>34</v>
      </c>
    </row>
    <row r="4535" spans="1:28" x14ac:dyDescent="0.15">
      <c r="A4535" s="1">
        <v>11312</v>
      </c>
      <c r="L4535" s="1" t="s">
        <v>2091</v>
      </c>
      <c r="N4535" s="1" t="s">
        <v>2092</v>
      </c>
      <c r="P4535" s="1" t="s">
        <v>518</v>
      </c>
      <c r="Q4535" s="3">
        <v>0</v>
      </c>
      <c r="S4535" s="23" t="s">
        <v>5949</v>
      </c>
      <c r="W4535" s="45" t="str">
        <f>HYPERLINK("http://ictvonline.org/taxonomy/p/taxonomy-history?taxnode_id=201853369","ICTVonline=201853369")</f>
        <v>ICTVonline=201853369</v>
      </c>
      <c r="AA4535" s="1">
        <v>201850000</v>
      </c>
      <c r="AB4535" s="1">
        <v>34</v>
      </c>
    </row>
    <row r="4536" spans="1:28" x14ac:dyDescent="0.15">
      <c r="A4536" s="1">
        <v>11314</v>
      </c>
      <c r="L4536" s="1" t="s">
        <v>2091</v>
      </c>
      <c r="N4536" s="1" t="s">
        <v>2092</v>
      </c>
      <c r="P4536" s="1" t="s">
        <v>3806</v>
      </c>
      <c r="Q4536" s="3">
        <v>0</v>
      </c>
      <c r="S4536" s="23" t="s">
        <v>5949</v>
      </c>
      <c r="W4536" s="45" t="str">
        <f>HYPERLINK("http://ictvonline.org/taxonomy/p/taxonomy-history?taxnode_id=201853370","ICTVonline=201853370")</f>
        <v>ICTVonline=201853370</v>
      </c>
      <c r="AA4536" s="1">
        <v>201850000</v>
      </c>
      <c r="AB4536" s="1">
        <v>34</v>
      </c>
    </row>
    <row r="4537" spans="1:28" x14ac:dyDescent="0.15">
      <c r="A4537" s="1">
        <v>11316</v>
      </c>
      <c r="L4537" s="1" t="s">
        <v>2091</v>
      </c>
      <c r="N4537" s="1" t="s">
        <v>2092</v>
      </c>
      <c r="P4537" s="1" t="s">
        <v>519</v>
      </c>
      <c r="Q4537" s="3">
        <v>0</v>
      </c>
      <c r="S4537" s="23" t="s">
        <v>5949</v>
      </c>
      <c r="W4537" s="45" t="str">
        <f>HYPERLINK("http://ictvonline.org/taxonomy/p/taxonomy-history?taxnode_id=201853371","ICTVonline=201853371")</f>
        <v>ICTVonline=201853371</v>
      </c>
      <c r="AA4537" s="1">
        <v>201850000</v>
      </c>
      <c r="AB4537" s="1">
        <v>34</v>
      </c>
    </row>
    <row r="4538" spans="1:28" x14ac:dyDescent="0.15">
      <c r="A4538" s="1">
        <v>11318</v>
      </c>
      <c r="L4538" s="1" t="s">
        <v>2091</v>
      </c>
      <c r="N4538" s="1" t="s">
        <v>2092</v>
      </c>
      <c r="P4538" s="1" t="s">
        <v>520</v>
      </c>
      <c r="Q4538" s="3">
        <v>0</v>
      </c>
      <c r="S4538" s="23" t="s">
        <v>5949</v>
      </c>
      <c r="W4538" s="45" t="str">
        <f>HYPERLINK("http://ictvonline.org/taxonomy/p/taxonomy-history?taxnode_id=201853372","ICTVonline=201853372")</f>
        <v>ICTVonline=201853372</v>
      </c>
      <c r="AA4538" s="1">
        <v>201850000</v>
      </c>
      <c r="AB4538" s="1">
        <v>34</v>
      </c>
    </row>
    <row r="4539" spans="1:28" x14ac:dyDescent="0.15">
      <c r="A4539" s="1">
        <v>11320</v>
      </c>
      <c r="L4539" s="1" t="s">
        <v>2091</v>
      </c>
      <c r="N4539" s="1" t="s">
        <v>2092</v>
      </c>
      <c r="P4539" s="1" t="s">
        <v>521</v>
      </c>
      <c r="Q4539" s="3">
        <v>0</v>
      </c>
      <c r="S4539" s="23" t="s">
        <v>5949</v>
      </c>
      <c r="W4539" s="45" t="str">
        <f>HYPERLINK("http://ictvonline.org/taxonomy/p/taxonomy-history?taxnode_id=201853373","ICTVonline=201853373")</f>
        <v>ICTVonline=201853373</v>
      </c>
      <c r="AA4539" s="1">
        <v>201850000</v>
      </c>
      <c r="AB4539" s="1">
        <v>34</v>
      </c>
    </row>
    <row r="4540" spans="1:28" x14ac:dyDescent="0.15">
      <c r="A4540" s="1">
        <v>11322</v>
      </c>
      <c r="L4540" s="1" t="s">
        <v>2091</v>
      </c>
      <c r="N4540" s="1" t="s">
        <v>2092</v>
      </c>
      <c r="P4540" s="1" t="s">
        <v>522</v>
      </c>
      <c r="Q4540" s="3">
        <v>0</v>
      </c>
      <c r="S4540" s="23" t="s">
        <v>5949</v>
      </c>
      <c r="W4540" s="45" t="str">
        <f>HYPERLINK("http://ictvonline.org/taxonomy/p/taxonomy-history?taxnode_id=201853374","ICTVonline=201853374")</f>
        <v>ICTVonline=201853374</v>
      </c>
      <c r="AA4540" s="1">
        <v>201850000</v>
      </c>
      <c r="AB4540" s="1">
        <v>34</v>
      </c>
    </row>
    <row r="4541" spans="1:28" x14ac:dyDescent="0.15">
      <c r="A4541" s="1">
        <v>11324</v>
      </c>
      <c r="L4541" s="1" t="s">
        <v>2091</v>
      </c>
      <c r="N4541" s="1" t="s">
        <v>2092</v>
      </c>
      <c r="P4541" s="1" t="s">
        <v>523</v>
      </c>
      <c r="Q4541" s="3">
        <v>0</v>
      </c>
      <c r="S4541" s="23" t="s">
        <v>5949</v>
      </c>
      <c r="W4541" s="45" t="str">
        <f>HYPERLINK("http://ictvonline.org/taxonomy/p/taxonomy-history?taxnode_id=201853375","ICTVonline=201853375")</f>
        <v>ICTVonline=201853375</v>
      </c>
      <c r="AA4541" s="1">
        <v>201850000</v>
      </c>
      <c r="AB4541" s="1">
        <v>34</v>
      </c>
    </row>
    <row r="4542" spans="1:28" x14ac:dyDescent="0.15">
      <c r="A4542" s="1">
        <v>11326</v>
      </c>
      <c r="L4542" s="1" t="s">
        <v>2091</v>
      </c>
      <c r="N4542" s="1" t="s">
        <v>2092</v>
      </c>
      <c r="P4542" s="1" t="s">
        <v>524</v>
      </c>
      <c r="Q4542" s="3">
        <v>0</v>
      </c>
      <c r="S4542" s="23" t="s">
        <v>5949</v>
      </c>
      <c r="W4542" s="45" t="str">
        <f>HYPERLINK("http://ictvonline.org/taxonomy/p/taxonomy-history?taxnode_id=201853376","ICTVonline=201853376")</f>
        <v>ICTVonline=201853376</v>
      </c>
      <c r="AA4542" s="1">
        <v>201850000</v>
      </c>
      <c r="AB4542" s="1">
        <v>34</v>
      </c>
    </row>
    <row r="4543" spans="1:28" x14ac:dyDescent="0.15">
      <c r="A4543" s="1">
        <v>11328</v>
      </c>
      <c r="L4543" s="1" t="s">
        <v>2091</v>
      </c>
      <c r="N4543" s="1" t="s">
        <v>2092</v>
      </c>
      <c r="P4543" s="1" t="s">
        <v>525</v>
      </c>
      <c r="Q4543" s="3">
        <v>0</v>
      </c>
      <c r="S4543" s="23" t="s">
        <v>5949</v>
      </c>
      <c r="W4543" s="45" t="str">
        <f>HYPERLINK("http://ictvonline.org/taxonomy/p/taxonomy-history?taxnode_id=201853377","ICTVonline=201853377")</f>
        <v>ICTVonline=201853377</v>
      </c>
      <c r="AA4543" s="1">
        <v>201850000</v>
      </c>
      <c r="AB4543" s="1">
        <v>34</v>
      </c>
    </row>
    <row r="4544" spans="1:28" x14ac:dyDescent="0.15">
      <c r="A4544" s="1">
        <v>11330</v>
      </c>
      <c r="L4544" s="1" t="s">
        <v>2091</v>
      </c>
      <c r="N4544" s="1" t="s">
        <v>2092</v>
      </c>
      <c r="P4544" s="1" t="s">
        <v>3807</v>
      </c>
      <c r="Q4544" s="3">
        <v>0</v>
      </c>
      <c r="S4544" s="23" t="s">
        <v>5949</v>
      </c>
      <c r="W4544" s="45" t="str">
        <f>HYPERLINK("http://ictvonline.org/taxonomy/p/taxonomy-history?taxnode_id=201853378","ICTVonline=201853378")</f>
        <v>ICTVonline=201853378</v>
      </c>
      <c r="AA4544" s="1">
        <v>201850000</v>
      </c>
      <c r="AB4544" s="1">
        <v>34</v>
      </c>
    </row>
    <row r="4545" spans="1:28" x14ac:dyDescent="0.15">
      <c r="A4545" s="1">
        <v>11332</v>
      </c>
      <c r="L4545" s="1" t="s">
        <v>2091</v>
      </c>
      <c r="N4545" s="1" t="s">
        <v>2092</v>
      </c>
      <c r="P4545" s="1" t="s">
        <v>5415</v>
      </c>
      <c r="Q4545" s="3">
        <v>0</v>
      </c>
      <c r="S4545" s="23" t="s">
        <v>5949</v>
      </c>
      <c r="W4545" s="45" t="str">
        <f>HYPERLINK("http://ictvonline.org/taxonomy/p/taxonomy-history?taxnode_id=201855830","ICTVonline=201855830")</f>
        <v>ICTVonline=201855830</v>
      </c>
      <c r="AA4545" s="1">
        <v>201850000</v>
      </c>
      <c r="AB4545" s="1">
        <v>34</v>
      </c>
    </row>
    <row r="4546" spans="1:28" x14ac:dyDescent="0.15">
      <c r="A4546" s="1">
        <v>11334</v>
      </c>
      <c r="L4546" s="1" t="s">
        <v>2091</v>
      </c>
      <c r="N4546" s="1" t="s">
        <v>2092</v>
      </c>
      <c r="P4546" s="1" t="s">
        <v>526</v>
      </c>
      <c r="Q4546" s="3">
        <v>0</v>
      </c>
      <c r="S4546" s="23" t="s">
        <v>5949</v>
      </c>
      <c r="W4546" s="45" t="str">
        <f>HYPERLINK("http://ictvonline.org/taxonomy/p/taxonomy-history?taxnode_id=201853379","ICTVonline=201853379")</f>
        <v>ICTVonline=201853379</v>
      </c>
      <c r="AA4546" s="1">
        <v>201850000</v>
      </c>
      <c r="AB4546" s="1">
        <v>34</v>
      </c>
    </row>
    <row r="4547" spans="1:28" x14ac:dyDescent="0.15">
      <c r="A4547" s="1">
        <v>11336</v>
      </c>
      <c r="L4547" s="1" t="s">
        <v>2091</v>
      </c>
      <c r="N4547" s="1" t="s">
        <v>2092</v>
      </c>
      <c r="P4547" s="1" t="s">
        <v>527</v>
      </c>
      <c r="Q4547" s="3">
        <v>0</v>
      </c>
      <c r="S4547" s="23" t="s">
        <v>5949</v>
      </c>
      <c r="W4547" s="45" t="str">
        <f>HYPERLINK("http://ictvonline.org/taxonomy/p/taxonomy-history?taxnode_id=201853380","ICTVonline=201853380")</f>
        <v>ICTVonline=201853380</v>
      </c>
      <c r="AA4547" s="1">
        <v>201850000</v>
      </c>
      <c r="AB4547" s="1">
        <v>34</v>
      </c>
    </row>
    <row r="4548" spans="1:28" x14ac:dyDescent="0.15">
      <c r="A4548" s="1">
        <v>11338</v>
      </c>
      <c r="L4548" s="1" t="s">
        <v>2091</v>
      </c>
      <c r="N4548" s="1" t="s">
        <v>2092</v>
      </c>
      <c r="P4548" s="1" t="s">
        <v>528</v>
      </c>
      <c r="Q4548" s="3">
        <v>0</v>
      </c>
      <c r="S4548" s="23" t="s">
        <v>5949</v>
      </c>
      <c r="W4548" s="45" t="str">
        <f>HYPERLINK("http://ictvonline.org/taxonomy/p/taxonomy-history?taxnode_id=201853381","ICTVonline=201853381")</f>
        <v>ICTVonline=201853381</v>
      </c>
      <c r="AA4548" s="1">
        <v>201850000</v>
      </c>
      <c r="AB4548" s="1">
        <v>34</v>
      </c>
    </row>
    <row r="4549" spans="1:28" x14ac:dyDescent="0.15">
      <c r="A4549" s="1">
        <v>11340</v>
      </c>
      <c r="L4549" s="1" t="s">
        <v>2091</v>
      </c>
      <c r="N4549" s="1" t="s">
        <v>2092</v>
      </c>
      <c r="P4549" s="1" t="s">
        <v>5416</v>
      </c>
      <c r="Q4549" s="3">
        <v>0</v>
      </c>
      <c r="S4549" s="23" t="s">
        <v>5949</v>
      </c>
      <c r="W4549" s="45" t="str">
        <f>HYPERLINK("http://ictvonline.org/taxonomy/p/taxonomy-history?taxnode_id=201855831","ICTVonline=201855831")</f>
        <v>ICTVonline=201855831</v>
      </c>
      <c r="AA4549" s="1">
        <v>201850000</v>
      </c>
      <c r="AB4549" s="1">
        <v>34</v>
      </c>
    </row>
    <row r="4550" spans="1:28" x14ac:dyDescent="0.15">
      <c r="A4550" s="1">
        <v>11342</v>
      </c>
      <c r="L4550" s="1" t="s">
        <v>2091</v>
      </c>
      <c r="N4550" s="1" t="s">
        <v>2092</v>
      </c>
      <c r="P4550" s="1" t="s">
        <v>3808</v>
      </c>
      <c r="Q4550" s="3">
        <v>0</v>
      </c>
      <c r="S4550" s="23" t="s">
        <v>5949</v>
      </c>
      <c r="W4550" s="45" t="str">
        <f>HYPERLINK("http://ictvonline.org/taxonomy/p/taxonomy-history?taxnode_id=201853382","ICTVonline=201853382")</f>
        <v>ICTVonline=201853382</v>
      </c>
      <c r="AA4550" s="1">
        <v>201850000</v>
      </c>
      <c r="AB4550" s="1">
        <v>34</v>
      </c>
    </row>
    <row r="4551" spans="1:28" x14ac:dyDescent="0.15">
      <c r="A4551" s="1">
        <v>11344</v>
      </c>
      <c r="L4551" s="1" t="s">
        <v>2091</v>
      </c>
      <c r="N4551" s="1" t="s">
        <v>2092</v>
      </c>
      <c r="P4551" s="1" t="s">
        <v>2434</v>
      </c>
      <c r="Q4551" s="3">
        <v>0</v>
      </c>
      <c r="S4551" s="23" t="s">
        <v>5949</v>
      </c>
      <c r="W4551" s="45" t="str">
        <f>HYPERLINK("http://ictvonline.org/taxonomy/p/taxonomy-history?taxnode_id=201853383","ICTVonline=201853383")</f>
        <v>ICTVonline=201853383</v>
      </c>
      <c r="AA4551" s="1">
        <v>201850000</v>
      </c>
      <c r="AB4551" s="1">
        <v>34</v>
      </c>
    </row>
    <row r="4552" spans="1:28" x14ac:dyDescent="0.15">
      <c r="A4552" s="1">
        <v>11346</v>
      </c>
      <c r="L4552" s="1" t="s">
        <v>2091</v>
      </c>
      <c r="N4552" s="1" t="s">
        <v>2092</v>
      </c>
      <c r="P4552" s="1" t="s">
        <v>7064</v>
      </c>
      <c r="Q4552" s="3">
        <v>0</v>
      </c>
      <c r="S4552" s="23" t="s">
        <v>5949</v>
      </c>
      <c r="T4552" s="23" t="s">
        <v>4929</v>
      </c>
      <c r="U4552" s="3">
        <v>34</v>
      </c>
      <c r="V4552" s="3" t="s">
        <v>7049</v>
      </c>
      <c r="W4552" s="45" t="str">
        <f>HYPERLINK("http://ictvonline.org/taxonomy/p/taxonomy-history?taxnode_id=201856708","ICTVonline=201856708")</f>
        <v>ICTVonline=201856708</v>
      </c>
      <c r="AA4552" s="1">
        <v>201850000</v>
      </c>
      <c r="AB4552" s="1">
        <v>34</v>
      </c>
    </row>
    <row r="4553" spans="1:28" x14ac:dyDescent="0.15">
      <c r="A4553" s="1">
        <v>11348</v>
      </c>
      <c r="L4553" s="1" t="s">
        <v>2091</v>
      </c>
      <c r="N4553" s="1" t="s">
        <v>2092</v>
      </c>
      <c r="P4553" s="1" t="s">
        <v>3809</v>
      </c>
      <c r="Q4553" s="3">
        <v>0</v>
      </c>
      <c r="S4553" s="23" t="s">
        <v>5949</v>
      </c>
      <c r="W4553" s="45" t="str">
        <f>HYPERLINK("http://ictvonline.org/taxonomy/p/taxonomy-history?taxnode_id=201853384","ICTVonline=201853384")</f>
        <v>ICTVonline=201853384</v>
      </c>
      <c r="AA4553" s="1">
        <v>201850000</v>
      </c>
      <c r="AB4553" s="1">
        <v>34</v>
      </c>
    </row>
    <row r="4554" spans="1:28" x14ac:dyDescent="0.15">
      <c r="A4554" s="1">
        <v>11350</v>
      </c>
      <c r="L4554" s="1" t="s">
        <v>2091</v>
      </c>
      <c r="N4554" s="1" t="s">
        <v>2092</v>
      </c>
      <c r="P4554" s="1" t="s">
        <v>3810</v>
      </c>
      <c r="Q4554" s="3">
        <v>0</v>
      </c>
      <c r="S4554" s="23" t="s">
        <v>5949</v>
      </c>
      <c r="W4554" s="45" t="str">
        <f>HYPERLINK("http://ictvonline.org/taxonomy/p/taxonomy-history?taxnode_id=201853385","ICTVonline=201853385")</f>
        <v>ICTVonline=201853385</v>
      </c>
      <c r="AA4554" s="1">
        <v>201850000</v>
      </c>
      <c r="AB4554" s="1">
        <v>34</v>
      </c>
    </row>
    <row r="4555" spans="1:28" x14ac:dyDescent="0.15">
      <c r="A4555" s="1">
        <v>11352</v>
      </c>
      <c r="L4555" s="1" t="s">
        <v>2091</v>
      </c>
      <c r="N4555" s="1" t="s">
        <v>2092</v>
      </c>
      <c r="P4555" s="1" t="s">
        <v>2435</v>
      </c>
      <c r="Q4555" s="3">
        <v>0</v>
      </c>
      <c r="S4555" s="23" t="s">
        <v>5949</v>
      </c>
      <c r="W4555" s="45" t="str">
        <f>HYPERLINK("http://ictvonline.org/taxonomy/p/taxonomy-history?taxnode_id=201853386","ICTVonline=201853386")</f>
        <v>ICTVonline=201853386</v>
      </c>
      <c r="AA4555" s="1">
        <v>201850000</v>
      </c>
      <c r="AB4555" s="1">
        <v>34</v>
      </c>
    </row>
    <row r="4556" spans="1:28" x14ac:dyDescent="0.15">
      <c r="A4556" s="1">
        <v>11354</v>
      </c>
      <c r="L4556" s="1" t="s">
        <v>2091</v>
      </c>
      <c r="N4556" s="1" t="s">
        <v>2092</v>
      </c>
      <c r="P4556" s="1" t="s">
        <v>529</v>
      </c>
      <c r="Q4556" s="3">
        <v>0</v>
      </c>
      <c r="S4556" s="23" t="s">
        <v>5949</v>
      </c>
      <c r="W4556" s="45" t="str">
        <f>HYPERLINK("http://ictvonline.org/taxonomy/p/taxonomy-history?taxnode_id=201853388","ICTVonline=201853388")</f>
        <v>ICTVonline=201853388</v>
      </c>
      <c r="AA4556" s="1">
        <v>201850000</v>
      </c>
      <c r="AB4556" s="1">
        <v>34</v>
      </c>
    </row>
    <row r="4557" spans="1:28" x14ac:dyDescent="0.15">
      <c r="A4557" s="1">
        <v>11356</v>
      </c>
      <c r="L4557" s="1" t="s">
        <v>2091</v>
      </c>
      <c r="N4557" s="1" t="s">
        <v>2092</v>
      </c>
      <c r="P4557" s="1" t="s">
        <v>2436</v>
      </c>
      <c r="Q4557" s="3">
        <v>0</v>
      </c>
      <c r="S4557" s="23" t="s">
        <v>5949</v>
      </c>
      <c r="W4557" s="45" t="str">
        <f>HYPERLINK("http://ictvonline.org/taxonomy/p/taxonomy-history?taxnode_id=201853389","ICTVonline=201853389")</f>
        <v>ICTVonline=201853389</v>
      </c>
      <c r="AA4557" s="1">
        <v>201850000</v>
      </c>
      <c r="AB4557" s="1">
        <v>34</v>
      </c>
    </row>
    <row r="4558" spans="1:28" x14ac:dyDescent="0.15">
      <c r="A4558" s="1">
        <v>11358</v>
      </c>
      <c r="L4558" s="1" t="s">
        <v>2091</v>
      </c>
      <c r="N4558" s="1" t="s">
        <v>2092</v>
      </c>
      <c r="P4558" s="1" t="s">
        <v>5417</v>
      </c>
      <c r="Q4558" s="3">
        <v>0</v>
      </c>
      <c r="S4558" s="23" t="s">
        <v>5949</v>
      </c>
      <c r="W4558" s="45" t="str">
        <f>HYPERLINK("http://ictvonline.org/taxonomy/p/taxonomy-history?taxnode_id=201855832","ICTVonline=201855832")</f>
        <v>ICTVonline=201855832</v>
      </c>
      <c r="AA4558" s="1">
        <v>201850000</v>
      </c>
      <c r="AB4558" s="1">
        <v>34</v>
      </c>
    </row>
    <row r="4559" spans="1:28" x14ac:dyDescent="0.15">
      <c r="A4559" s="1">
        <v>11360</v>
      </c>
      <c r="L4559" s="1" t="s">
        <v>2091</v>
      </c>
      <c r="N4559" s="1" t="s">
        <v>2092</v>
      </c>
      <c r="P4559" s="1" t="s">
        <v>5418</v>
      </c>
      <c r="Q4559" s="3">
        <v>0</v>
      </c>
      <c r="S4559" s="23" t="s">
        <v>5949</v>
      </c>
      <c r="W4559" s="45" t="str">
        <f>HYPERLINK("http://ictvonline.org/taxonomy/p/taxonomy-history?taxnode_id=201855833","ICTVonline=201855833")</f>
        <v>ICTVonline=201855833</v>
      </c>
      <c r="AA4559" s="1">
        <v>201850000</v>
      </c>
      <c r="AB4559" s="1">
        <v>34</v>
      </c>
    </row>
    <row r="4560" spans="1:28" x14ac:dyDescent="0.15">
      <c r="A4560" s="1">
        <v>11362</v>
      </c>
      <c r="L4560" s="1" t="s">
        <v>2091</v>
      </c>
      <c r="N4560" s="1" t="s">
        <v>2092</v>
      </c>
      <c r="P4560" s="1" t="s">
        <v>530</v>
      </c>
      <c r="Q4560" s="3">
        <v>0</v>
      </c>
      <c r="S4560" s="23" t="s">
        <v>5949</v>
      </c>
      <c r="W4560" s="45" t="str">
        <f>HYPERLINK("http://ictvonline.org/taxonomy/p/taxonomy-history?taxnode_id=201853390","ICTVonline=201853390")</f>
        <v>ICTVonline=201853390</v>
      </c>
      <c r="AA4560" s="1">
        <v>201850000</v>
      </c>
      <c r="AB4560" s="1">
        <v>34</v>
      </c>
    </row>
    <row r="4561" spans="1:28" x14ac:dyDescent="0.15">
      <c r="A4561" s="1">
        <v>11364</v>
      </c>
      <c r="L4561" s="1" t="s">
        <v>2091</v>
      </c>
      <c r="N4561" s="1" t="s">
        <v>2092</v>
      </c>
      <c r="P4561" s="1" t="s">
        <v>3811</v>
      </c>
      <c r="Q4561" s="3">
        <v>0</v>
      </c>
      <c r="S4561" s="23" t="s">
        <v>5949</v>
      </c>
      <c r="W4561" s="45" t="str">
        <f>HYPERLINK("http://ictvonline.org/taxonomy/p/taxonomy-history?taxnode_id=201853391","ICTVonline=201853391")</f>
        <v>ICTVonline=201853391</v>
      </c>
      <c r="AA4561" s="1">
        <v>201850000</v>
      </c>
      <c r="AB4561" s="1">
        <v>34</v>
      </c>
    </row>
    <row r="4562" spans="1:28" x14ac:dyDescent="0.15">
      <c r="A4562" s="1">
        <v>11366</v>
      </c>
      <c r="L4562" s="1" t="s">
        <v>2091</v>
      </c>
      <c r="N4562" s="1" t="s">
        <v>2092</v>
      </c>
      <c r="P4562" s="1" t="s">
        <v>1610</v>
      </c>
      <c r="Q4562" s="3">
        <v>0</v>
      </c>
      <c r="S4562" s="23" t="s">
        <v>5949</v>
      </c>
      <c r="W4562" s="45" t="str">
        <f>HYPERLINK("http://ictvonline.org/taxonomy/p/taxonomy-history?taxnode_id=201853392","ICTVonline=201853392")</f>
        <v>ICTVonline=201853392</v>
      </c>
      <c r="AA4562" s="1">
        <v>201850000</v>
      </c>
      <c r="AB4562" s="1">
        <v>34</v>
      </c>
    </row>
    <row r="4563" spans="1:28" x14ac:dyDescent="0.15">
      <c r="A4563" s="1">
        <v>11368</v>
      </c>
      <c r="L4563" s="1" t="s">
        <v>2091</v>
      </c>
      <c r="N4563" s="1" t="s">
        <v>2092</v>
      </c>
      <c r="P4563" s="1" t="s">
        <v>2437</v>
      </c>
      <c r="Q4563" s="3">
        <v>0</v>
      </c>
      <c r="S4563" s="23" t="s">
        <v>5949</v>
      </c>
      <c r="W4563" s="45" t="str">
        <f>HYPERLINK("http://ictvonline.org/taxonomy/p/taxonomy-history?taxnode_id=201853394","ICTVonline=201853394")</f>
        <v>ICTVonline=201853394</v>
      </c>
      <c r="AA4563" s="1">
        <v>201850000</v>
      </c>
      <c r="AB4563" s="1">
        <v>34</v>
      </c>
    </row>
    <row r="4564" spans="1:28" x14ac:dyDescent="0.15">
      <c r="A4564" s="1">
        <v>11370</v>
      </c>
      <c r="L4564" s="1" t="s">
        <v>2091</v>
      </c>
      <c r="N4564" s="1" t="s">
        <v>2092</v>
      </c>
      <c r="P4564" s="1" t="s">
        <v>2438</v>
      </c>
      <c r="Q4564" s="3">
        <v>0</v>
      </c>
      <c r="S4564" s="23" t="s">
        <v>5949</v>
      </c>
      <c r="W4564" s="45" t="str">
        <f>HYPERLINK("http://ictvonline.org/taxonomy/p/taxonomy-history?taxnode_id=201853395","ICTVonline=201853395")</f>
        <v>ICTVonline=201853395</v>
      </c>
      <c r="AA4564" s="1">
        <v>201850000</v>
      </c>
      <c r="AB4564" s="1">
        <v>34</v>
      </c>
    </row>
    <row r="4565" spans="1:28" x14ac:dyDescent="0.15">
      <c r="A4565" s="1">
        <v>11372</v>
      </c>
      <c r="L4565" s="1" t="s">
        <v>2091</v>
      </c>
      <c r="N4565" s="1" t="s">
        <v>2092</v>
      </c>
      <c r="P4565" s="1" t="s">
        <v>1611</v>
      </c>
      <c r="Q4565" s="3">
        <v>0</v>
      </c>
      <c r="S4565" s="23" t="s">
        <v>5949</v>
      </c>
      <c r="W4565" s="45" t="str">
        <f>HYPERLINK("http://ictvonline.org/taxonomy/p/taxonomy-history?taxnode_id=201853396","ICTVonline=201853396")</f>
        <v>ICTVonline=201853396</v>
      </c>
      <c r="AA4565" s="1">
        <v>201850000</v>
      </c>
      <c r="AB4565" s="1">
        <v>34</v>
      </c>
    </row>
    <row r="4566" spans="1:28" x14ac:dyDescent="0.15">
      <c r="A4566" s="1">
        <v>11374</v>
      </c>
      <c r="L4566" s="1" t="s">
        <v>2091</v>
      </c>
      <c r="N4566" s="1" t="s">
        <v>2092</v>
      </c>
      <c r="P4566" s="1" t="s">
        <v>1612</v>
      </c>
      <c r="Q4566" s="3">
        <v>0</v>
      </c>
      <c r="S4566" s="23" t="s">
        <v>5949</v>
      </c>
      <c r="W4566" s="45" t="str">
        <f>HYPERLINK("http://ictvonline.org/taxonomy/p/taxonomy-history?taxnode_id=201853397","ICTVonline=201853397")</f>
        <v>ICTVonline=201853397</v>
      </c>
      <c r="AA4566" s="1">
        <v>201850000</v>
      </c>
      <c r="AB4566" s="1">
        <v>34</v>
      </c>
    </row>
    <row r="4567" spans="1:28" x14ac:dyDescent="0.15">
      <c r="A4567" s="1">
        <v>11376</v>
      </c>
      <c r="L4567" s="1" t="s">
        <v>2091</v>
      </c>
      <c r="N4567" s="1" t="s">
        <v>2092</v>
      </c>
      <c r="P4567" s="1" t="s">
        <v>2439</v>
      </c>
      <c r="Q4567" s="3">
        <v>0</v>
      </c>
      <c r="S4567" s="23" t="s">
        <v>5949</v>
      </c>
      <c r="W4567" s="45" t="str">
        <f>HYPERLINK("http://ictvonline.org/taxonomy/p/taxonomy-history?taxnode_id=201853398","ICTVonline=201853398")</f>
        <v>ICTVonline=201853398</v>
      </c>
      <c r="AA4567" s="1">
        <v>201850000</v>
      </c>
      <c r="AB4567" s="1">
        <v>34</v>
      </c>
    </row>
    <row r="4568" spans="1:28" x14ac:dyDescent="0.15">
      <c r="A4568" s="1">
        <v>11378</v>
      </c>
      <c r="L4568" s="1" t="s">
        <v>2091</v>
      </c>
      <c r="N4568" s="1" t="s">
        <v>2092</v>
      </c>
      <c r="P4568" s="1" t="s">
        <v>2440</v>
      </c>
      <c r="Q4568" s="3">
        <v>0</v>
      </c>
      <c r="S4568" s="23" t="s">
        <v>5949</v>
      </c>
      <c r="W4568" s="45" t="str">
        <f>HYPERLINK("http://ictvonline.org/taxonomy/p/taxonomy-history?taxnode_id=201853399","ICTVonline=201853399")</f>
        <v>ICTVonline=201853399</v>
      </c>
      <c r="AA4568" s="1">
        <v>201850000</v>
      </c>
      <c r="AB4568" s="1">
        <v>34</v>
      </c>
    </row>
    <row r="4569" spans="1:28" x14ac:dyDescent="0.15">
      <c r="A4569" s="1">
        <v>11380</v>
      </c>
      <c r="L4569" s="1" t="s">
        <v>2091</v>
      </c>
      <c r="N4569" s="1" t="s">
        <v>2092</v>
      </c>
      <c r="P4569" s="1" t="s">
        <v>2441</v>
      </c>
      <c r="Q4569" s="3">
        <v>0</v>
      </c>
      <c r="S4569" s="23" t="s">
        <v>5949</v>
      </c>
      <c r="W4569" s="45" t="str">
        <f>HYPERLINK("http://ictvonline.org/taxonomy/p/taxonomy-history?taxnode_id=201853400","ICTVonline=201853400")</f>
        <v>ICTVonline=201853400</v>
      </c>
      <c r="AA4569" s="1">
        <v>201850000</v>
      </c>
      <c r="AB4569" s="1">
        <v>34</v>
      </c>
    </row>
    <row r="4570" spans="1:28" x14ac:dyDescent="0.15">
      <c r="A4570" s="1">
        <v>11382</v>
      </c>
      <c r="L4570" s="1" t="s">
        <v>2091</v>
      </c>
      <c r="N4570" s="1" t="s">
        <v>2092</v>
      </c>
      <c r="P4570" s="1" t="s">
        <v>3812</v>
      </c>
      <c r="Q4570" s="3">
        <v>0</v>
      </c>
      <c r="S4570" s="23" t="s">
        <v>5949</v>
      </c>
      <c r="W4570" s="45" t="str">
        <f>HYPERLINK("http://ictvonline.org/taxonomy/p/taxonomy-history?taxnode_id=201853401","ICTVonline=201853401")</f>
        <v>ICTVonline=201853401</v>
      </c>
      <c r="AA4570" s="1">
        <v>201850000</v>
      </c>
      <c r="AB4570" s="1">
        <v>34</v>
      </c>
    </row>
    <row r="4571" spans="1:28" x14ac:dyDescent="0.15">
      <c r="A4571" s="1">
        <v>11384</v>
      </c>
      <c r="L4571" s="1" t="s">
        <v>2091</v>
      </c>
      <c r="N4571" s="1" t="s">
        <v>2092</v>
      </c>
      <c r="P4571" s="1" t="s">
        <v>3813</v>
      </c>
      <c r="Q4571" s="3">
        <v>0</v>
      </c>
      <c r="S4571" s="23" t="s">
        <v>5949</v>
      </c>
      <c r="W4571" s="45" t="str">
        <f>HYPERLINK("http://ictvonline.org/taxonomy/p/taxonomy-history?taxnode_id=201853402","ICTVonline=201853402")</f>
        <v>ICTVonline=201853402</v>
      </c>
      <c r="AA4571" s="1">
        <v>201850000</v>
      </c>
      <c r="AB4571" s="1">
        <v>34</v>
      </c>
    </row>
    <row r="4572" spans="1:28" x14ac:dyDescent="0.15">
      <c r="A4572" s="1">
        <v>11386</v>
      </c>
      <c r="L4572" s="1" t="s">
        <v>2091</v>
      </c>
      <c r="N4572" s="1" t="s">
        <v>2092</v>
      </c>
      <c r="P4572" s="1" t="s">
        <v>1815</v>
      </c>
      <c r="Q4572" s="3">
        <v>0</v>
      </c>
      <c r="S4572" s="23" t="s">
        <v>5949</v>
      </c>
      <c r="W4572" s="45" t="str">
        <f>HYPERLINK("http://ictvonline.org/taxonomy/p/taxonomy-history?taxnode_id=201853403","ICTVonline=201853403")</f>
        <v>ICTVonline=201853403</v>
      </c>
      <c r="AA4572" s="1">
        <v>201850000</v>
      </c>
      <c r="AB4572" s="1">
        <v>34</v>
      </c>
    </row>
    <row r="4573" spans="1:28" x14ac:dyDescent="0.15">
      <c r="A4573" s="1">
        <v>11388</v>
      </c>
      <c r="L4573" s="1" t="s">
        <v>2091</v>
      </c>
      <c r="N4573" s="1" t="s">
        <v>2092</v>
      </c>
      <c r="P4573" s="1" t="s">
        <v>2442</v>
      </c>
      <c r="Q4573" s="3">
        <v>0</v>
      </c>
      <c r="S4573" s="23" t="s">
        <v>5949</v>
      </c>
      <c r="W4573" s="45" t="str">
        <f>HYPERLINK("http://ictvonline.org/taxonomy/p/taxonomy-history?taxnode_id=201853404","ICTVonline=201853404")</f>
        <v>ICTVonline=201853404</v>
      </c>
      <c r="AA4573" s="1">
        <v>201850000</v>
      </c>
      <c r="AB4573" s="1">
        <v>34</v>
      </c>
    </row>
    <row r="4574" spans="1:28" x14ac:dyDescent="0.15">
      <c r="A4574" s="1">
        <v>11390</v>
      </c>
      <c r="L4574" s="1" t="s">
        <v>2091</v>
      </c>
      <c r="N4574" s="1" t="s">
        <v>2092</v>
      </c>
      <c r="P4574" s="1" t="s">
        <v>5419</v>
      </c>
      <c r="Q4574" s="3">
        <v>0</v>
      </c>
      <c r="S4574" s="23" t="s">
        <v>5949</v>
      </c>
      <c r="W4574" s="45" t="str">
        <f>HYPERLINK("http://ictvonline.org/taxonomy/p/taxonomy-history?taxnode_id=201855834","ICTVonline=201855834")</f>
        <v>ICTVonline=201855834</v>
      </c>
      <c r="AA4574" s="1">
        <v>201850000</v>
      </c>
      <c r="AB4574" s="1">
        <v>34</v>
      </c>
    </row>
    <row r="4575" spans="1:28" x14ac:dyDescent="0.15">
      <c r="A4575" s="1">
        <v>11392</v>
      </c>
      <c r="L4575" s="1" t="s">
        <v>2091</v>
      </c>
      <c r="N4575" s="1" t="s">
        <v>2092</v>
      </c>
      <c r="P4575" s="1" t="s">
        <v>1816</v>
      </c>
      <c r="Q4575" s="3">
        <v>0</v>
      </c>
      <c r="S4575" s="23" t="s">
        <v>5949</v>
      </c>
      <c r="W4575" s="45" t="str">
        <f>HYPERLINK("http://ictvonline.org/taxonomy/p/taxonomy-history?taxnode_id=201853405","ICTVonline=201853405")</f>
        <v>ICTVonline=201853405</v>
      </c>
      <c r="AA4575" s="1">
        <v>201850000</v>
      </c>
      <c r="AB4575" s="1">
        <v>34</v>
      </c>
    </row>
    <row r="4576" spans="1:28" x14ac:dyDescent="0.15">
      <c r="A4576" s="1">
        <v>11394</v>
      </c>
      <c r="L4576" s="1" t="s">
        <v>2091</v>
      </c>
      <c r="N4576" s="1" t="s">
        <v>2092</v>
      </c>
      <c r="P4576" s="1" t="s">
        <v>2443</v>
      </c>
      <c r="Q4576" s="3">
        <v>0</v>
      </c>
      <c r="S4576" s="23" t="s">
        <v>5949</v>
      </c>
      <c r="W4576" s="45" t="str">
        <f>HYPERLINK("http://ictvonline.org/taxonomy/p/taxonomy-history?taxnode_id=201853406","ICTVonline=201853406")</f>
        <v>ICTVonline=201853406</v>
      </c>
      <c r="AA4576" s="1">
        <v>201850000</v>
      </c>
      <c r="AB4576" s="1">
        <v>34</v>
      </c>
    </row>
    <row r="4577" spans="1:28" x14ac:dyDescent="0.15">
      <c r="A4577" s="1">
        <v>11396</v>
      </c>
      <c r="L4577" s="1" t="s">
        <v>2091</v>
      </c>
      <c r="N4577" s="1" t="s">
        <v>2092</v>
      </c>
      <c r="P4577" s="1" t="s">
        <v>1817</v>
      </c>
      <c r="Q4577" s="3">
        <v>0</v>
      </c>
      <c r="S4577" s="23" t="s">
        <v>5949</v>
      </c>
      <c r="W4577" s="45" t="str">
        <f>HYPERLINK("http://ictvonline.org/taxonomy/p/taxonomy-history?taxnode_id=201853407","ICTVonline=201853407")</f>
        <v>ICTVonline=201853407</v>
      </c>
      <c r="AA4577" s="1">
        <v>201850000</v>
      </c>
      <c r="AB4577" s="1">
        <v>34</v>
      </c>
    </row>
    <row r="4578" spans="1:28" x14ac:dyDescent="0.15">
      <c r="A4578" s="1">
        <v>11398</v>
      </c>
      <c r="L4578" s="1" t="s">
        <v>2091</v>
      </c>
      <c r="N4578" s="1" t="s">
        <v>2092</v>
      </c>
      <c r="P4578" s="1" t="s">
        <v>2444</v>
      </c>
      <c r="Q4578" s="3">
        <v>0</v>
      </c>
      <c r="S4578" s="23" t="s">
        <v>5949</v>
      </c>
      <c r="W4578" s="45" t="str">
        <f>HYPERLINK("http://ictvonline.org/taxonomy/p/taxonomy-history?taxnode_id=201853408","ICTVonline=201853408")</f>
        <v>ICTVonline=201853408</v>
      </c>
      <c r="AA4578" s="1">
        <v>201850000</v>
      </c>
      <c r="AB4578" s="1">
        <v>34</v>
      </c>
    </row>
    <row r="4579" spans="1:28" x14ac:dyDescent="0.15">
      <c r="A4579" s="1">
        <v>11400</v>
      </c>
      <c r="L4579" s="1" t="s">
        <v>2091</v>
      </c>
      <c r="N4579" s="1" t="s">
        <v>2092</v>
      </c>
      <c r="P4579" s="1" t="s">
        <v>5420</v>
      </c>
      <c r="Q4579" s="3">
        <v>0</v>
      </c>
      <c r="S4579" s="23" t="s">
        <v>5949</v>
      </c>
      <c r="W4579" s="45" t="str">
        <f>HYPERLINK("http://ictvonline.org/taxonomy/p/taxonomy-history?taxnode_id=201855835","ICTVonline=201855835")</f>
        <v>ICTVonline=201855835</v>
      </c>
      <c r="AA4579" s="1">
        <v>201850000</v>
      </c>
      <c r="AB4579" s="1">
        <v>34</v>
      </c>
    </row>
    <row r="4580" spans="1:28" x14ac:dyDescent="0.15">
      <c r="A4580" s="1">
        <v>11402</v>
      </c>
      <c r="L4580" s="1" t="s">
        <v>2091</v>
      </c>
      <c r="N4580" s="1" t="s">
        <v>2092</v>
      </c>
      <c r="P4580" s="1" t="s">
        <v>3814</v>
      </c>
      <c r="Q4580" s="3">
        <v>0</v>
      </c>
      <c r="S4580" s="23" t="s">
        <v>5949</v>
      </c>
      <c r="W4580" s="45" t="str">
        <f>HYPERLINK("http://ictvonline.org/taxonomy/p/taxonomy-history?taxnode_id=201853409","ICTVonline=201853409")</f>
        <v>ICTVonline=201853409</v>
      </c>
      <c r="AA4580" s="1">
        <v>201850000</v>
      </c>
      <c r="AB4580" s="1">
        <v>34</v>
      </c>
    </row>
    <row r="4581" spans="1:28" x14ac:dyDescent="0.15">
      <c r="A4581" s="1">
        <v>11404</v>
      </c>
      <c r="L4581" s="1" t="s">
        <v>2091</v>
      </c>
      <c r="N4581" s="1" t="s">
        <v>2092</v>
      </c>
      <c r="P4581" s="1" t="s">
        <v>5421</v>
      </c>
      <c r="Q4581" s="3">
        <v>0</v>
      </c>
      <c r="S4581" s="23" t="s">
        <v>5949</v>
      </c>
      <c r="W4581" s="45" t="str">
        <f>HYPERLINK("http://ictvonline.org/taxonomy/p/taxonomy-history?taxnode_id=201855836","ICTVonline=201855836")</f>
        <v>ICTVonline=201855836</v>
      </c>
      <c r="AA4581" s="1">
        <v>201850000</v>
      </c>
      <c r="AB4581" s="1">
        <v>34</v>
      </c>
    </row>
    <row r="4582" spans="1:28" x14ac:dyDescent="0.15">
      <c r="A4582" s="1">
        <v>11406</v>
      </c>
      <c r="L4582" s="1" t="s">
        <v>2091</v>
      </c>
      <c r="N4582" s="1" t="s">
        <v>2092</v>
      </c>
      <c r="P4582" s="1" t="s">
        <v>1818</v>
      </c>
      <c r="Q4582" s="3">
        <v>0</v>
      </c>
      <c r="S4582" s="23" t="s">
        <v>5949</v>
      </c>
      <c r="W4582" s="45" t="str">
        <f>HYPERLINK("http://ictvonline.org/taxonomy/p/taxonomy-history?taxnode_id=201853410","ICTVonline=201853410")</f>
        <v>ICTVonline=201853410</v>
      </c>
      <c r="AA4582" s="1">
        <v>201850000</v>
      </c>
      <c r="AB4582" s="1">
        <v>34</v>
      </c>
    </row>
    <row r="4583" spans="1:28" x14ac:dyDescent="0.15">
      <c r="A4583" s="1">
        <v>11408</v>
      </c>
      <c r="L4583" s="1" t="s">
        <v>2091</v>
      </c>
      <c r="N4583" s="1" t="s">
        <v>2092</v>
      </c>
      <c r="P4583" s="1" t="s">
        <v>1819</v>
      </c>
      <c r="Q4583" s="3">
        <v>0</v>
      </c>
      <c r="S4583" s="23" t="s">
        <v>5949</v>
      </c>
      <c r="W4583" s="45" t="str">
        <f>HYPERLINK("http://ictvonline.org/taxonomy/p/taxonomy-history?taxnode_id=201853411","ICTVonline=201853411")</f>
        <v>ICTVonline=201853411</v>
      </c>
      <c r="AA4583" s="1">
        <v>201850000</v>
      </c>
      <c r="AB4583" s="1">
        <v>34</v>
      </c>
    </row>
    <row r="4584" spans="1:28" x14ac:dyDescent="0.15">
      <c r="A4584" s="1">
        <v>11410</v>
      </c>
      <c r="L4584" s="1" t="s">
        <v>2091</v>
      </c>
      <c r="N4584" s="1" t="s">
        <v>2092</v>
      </c>
      <c r="P4584" s="1" t="s">
        <v>2445</v>
      </c>
      <c r="Q4584" s="3">
        <v>0</v>
      </c>
      <c r="S4584" s="23" t="s">
        <v>5949</v>
      </c>
      <c r="W4584" s="45" t="str">
        <f>HYPERLINK("http://ictvonline.org/taxonomy/p/taxonomy-history?taxnode_id=201853412","ICTVonline=201853412")</f>
        <v>ICTVonline=201853412</v>
      </c>
      <c r="AA4584" s="1">
        <v>201850000</v>
      </c>
      <c r="AB4584" s="1">
        <v>34</v>
      </c>
    </row>
    <row r="4585" spans="1:28" x14ac:dyDescent="0.15">
      <c r="A4585" s="1">
        <v>11412</v>
      </c>
      <c r="L4585" s="1" t="s">
        <v>2091</v>
      </c>
      <c r="N4585" s="1" t="s">
        <v>2092</v>
      </c>
      <c r="P4585" s="1" t="s">
        <v>3815</v>
      </c>
      <c r="Q4585" s="3">
        <v>0</v>
      </c>
      <c r="S4585" s="23" t="s">
        <v>5949</v>
      </c>
      <c r="W4585" s="45" t="str">
        <f>HYPERLINK("http://ictvonline.org/taxonomy/p/taxonomy-history?taxnode_id=201853413","ICTVonline=201853413")</f>
        <v>ICTVonline=201853413</v>
      </c>
      <c r="AA4585" s="1">
        <v>201850000</v>
      </c>
      <c r="AB4585" s="1">
        <v>34</v>
      </c>
    </row>
    <row r="4586" spans="1:28" x14ac:dyDescent="0.15">
      <c r="A4586" s="1">
        <v>11414</v>
      </c>
      <c r="L4586" s="1" t="s">
        <v>2091</v>
      </c>
      <c r="N4586" s="1" t="s">
        <v>2092</v>
      </c>
      <c r="P4586" s="1" t="s">
        <v>5422</v>
      </c>
      <c r="Q4586" s="3">
        <v>0</v>
      </c>
      <c r="S4586" s="23" t="s">
        <v>5949</v>
      </c>
      <c r="W4586" s="45" t="str">
        <f>HYPERLINK("http://ictvonline.org/taxonomy/p/taxonomy-history?taxnode_id=201855837","ICTVonline=201855837")</f>
        <v>ICTVonline=201855837</v>
      </c>
      <c r="AA4586" s="1">
        <v>201850000</v>
      </c>
      <c r="AB4586" s="1">
        <v>34</v>
      </c>
    </row>
    <row r="4587" spans="1:28" x14ac:dyDescent="0.15">
      <c r="A4587" s="1">
        <v>11416</v>
      </c>
      <c r="L4587" s="1" t="s">
        <v>2091</v>
      </c>
      <c r="N4587" s="1" t="s">
        <v>2092</v>
      </c>
      <c r="P4587" s="1" t="s">
        <v>2446</v>
      </c>
      <c r="Q4587" s="3">
        <v>0</v>
      </c>
      <c r="S4587" s="23" t="s">
        <v>5949</v>
      </c>
      <c r="W4587" s="45" t="str">
        <f>HYPERLINK("http://ictvonline.org/taxonomy/p/taxonomy-history?taxnode_id=201853414","ICTVonline=201853414")</f>
        <v>ICTVonline=201853414</v>
      </c>
      <c r="AA4587" s="1">
        <v>201850000</v>
      </c>
      <c r="AB4587" s="1">
        <v>34</v>
      </c>
    </row>
    <row r="4588" spans="1:28" x14ac:dyDescent="0.15">
      <c r="A4588" s="1">
        <v>11418</v>
      </c>
      <c r="L4588" s="1" t="s">
        <v>2091</v>
      </c>
      <c r="N4588" s="1" t="s">
        <v>2092</v>
      </c>
      <c r="P4588" s="1" t="s">
        <v>1820</v>
      </c>
      <c r="Q4588" s="3">
        <v>0</v>
      </c>
      <c r="S4588" s="23" t="s">
        <v>5949</v>
      </c>
      <c r="W4588" s="45" t="str">
        <f>HYPERLINK("http://ictvonline.org/taxonomy/p/taxonomy-history?taxnode_id=201853415","ICTVonline=201853415")</f>
        <v>ICTVonline=201853415</v>
      </c>
      <c r="AA4588" s="1">
        <v>201850000</v>
      </c>
      <c r="AB4588" s="1">
        <v>34</v>
      </c>
    </row>
    <row r="4589" spans="1:28" x14ac:dyDescent="0.15">
      <c r="A4589" s="1">
        <v>11420</v>
      </c>
      <c r="L4589" s="1" t="s">
        <v>2091</v>
      </c>
      <c r="N4589" s="1" t="s">
        <v>2092</v>
      </c>
      <c r="P4589" s="1" t="s">
        <v>1588</v>
      </c>
      <c r="Q4589" s="3">
        <v>0</v>
      </c>
      <c r="S4589" s="23" t="s">
        <v>5949</v>
      </c>
      <c r="W4589" s="45" t="str">
        <f>HYPERLINK("http://ictvonline.org/taxonomy/p/taxonomy-history?taxnode_id=201853416","ICTVonline=201853416")</f>
        <v>ICTVonline=201853416</v>
      </c>
      <c r="AA4589" s="1">
        <v>201850000</v>
      </c>
      <c r="AB4589" s="1">
        <v>34</v>
      </c>
    </row>
    <row r="4590" spans="1:28" x14ac:dyDescent="0.15">
      <c r="A4590" s="1">
        <v>11422</v>
      </c>
      <c r="L4590" s="1" t="s">
        <v>2091</v>
      </c>
      <c r="N4590" s="1" t="s">
        <v>2092</v>
      </c>
      <c r="P4590" s="1" t="s">
        <v>1589</v>
      </c>
      <c r="Q4590" s="3">
        <v>0</v>
      </c>
      <c r="S4590" s="23" t="s">
        <v>5949</v>
      </c>
      <c r="W4590" s="45" t="str">
        <f>HYPERLINK("http://ictvonline.org/taxonomy/p/taxonomy-history?taxnode_id=201853417","ICTVonline=201853417")</f>
        <v>ICTVonline=201853417</v>
      </c>
      <c r="AA4590" s="1">
        <v>201850000</v>
      </c>
      <c r="AB4590" s="1">
        <v>34</v>
      </c>
    </row>
    <row r="4591" spans="1:28" x14ac:dyDescent="0.15">
      <c r="A4591" s="1">
        <v>11424</v>
      </c>
      <c r="L4591" s="1" t="s">
        <v>2091</v>
      </c>
      <c r="N4591" s="1" t="s">
        <v>2092</v>
      </c>
      <c r="P4591" s="1" t="s">
        <v>5423</v>
      </c>
      <c r="Q4591" s="3">
        <v>0</v>
      </c>
      <c r="S4591" s="23" t="s">
        <v>5949</v>
      </c>
      <c r="W4591" s="45" t="str">
        <f>HYPERLINK("http://ictvonline.org/taxonomy/p/taxonomy-history?taxnode_id=201855838","ICTVonline=201855838")</f>
        <v>ICTVonline=201855838</v>
      </c>
      <c r="AA4591" s="1">
        <v>201850000</v>
      </c>
      <c r="AB4591" s="1">
        <v>34</v>
      </c>
    </row>
    <row r="4592" spans="1:28" x14ac:dyDescent="0.15">
      <c r="A4592" s="1">
        <v>11426</v>
      </c>
      <c r="L4592" s="1" t="s">
        <v>2091</v>
      </c>
      <c r="N4592" s="1" t="s">
        <v>2092</v>
      </c>
      <c r="P4592" s="1" t="s">
        <v>2447</v>
      </c>
      <c r="Q4592" s="3">
        <v>0</v>
      </c>
      <c r="S4592" s="23" t="s">
        <v>5949</v>
      </c>
      <c r="W4592" s="45" t="str">
        <f>HYPERLINK("http://ictvonline.org/taxonomy/p/taxonomy-history?taxnode_id=201853418","ICTVonline=201853418")</f>
        <v>ICTVonline=201853418</v>
      </c>
      <c r="AA4592" s="1">
        <v>201850000</v>
      </c>
      <c r="AB4592" s="1">
        <v>34</v>
      </c>
    </row>
    <row r="4593" spans="1:28" x14ac:dyDescent="0.15">
      <c r="A4593" s="1">
        <v>11428</v>
      </c>
      <c r="L4593" s="1" t="s">
        <v>2091</v>
      </c>
      <c r="N4593" s="1" t="s">
        <v>2092</v>
      </c>
      <c r="P4593" s="1" t="s">
        <v>1929</v>
      </c>
      <c r="Q4593" s="3">
        <v>0</v>
      </c>
      <c r="S4593" s="23" t="s">
        <v>5949</v>
      </c>
      <c r="W4593" s="45" t="str">
        <f>HYPERLINK("http://ictvonline.org/taxonomy/p/taxonomy-history?taxnode_id=201853419","ICTVonline=201853419")</f>
        <v>ICTVonline=201853419</v>
      </c>
      <c r="AA4593" s="1">
        <v>201850000</v>
      </c>
      <c r="AB4593" s="1">
        <v>34</v>
      </c>
    </row>
    <row r="4594" spans="1:28" x14ac:dyDescent="0.15">
      <c r="A4594" s="1">
        <v>11430</v>
      </c>
      <c r="L4594" s="1" t="s">
        <v>2091</v>
      </c>
      <c r="N4594" s="1" t="s">
        <v>2092</v>
      </c>
      <c r="P4594" s="1" t="s">
        <v>1843</v>
      </c>
      <c r="Q4594" s="3">
        <v>0</v>
      </c>
      <c r="S4594" s="23" t="s">
        <v>5949</v>
      </c>
      <c r="W4594" s="45" t="str">
        <f>HYPERLINK("http://ictvonline.org/taxonomy/p/taxonomy-history?taxnode_id=201853420","ICTVonline=201853420")</f>
        <v>ICTVonline=201853420</v>
      </c>
      <c r="AA4594" s="1">
        <v>201850000</v>
      </c>
      <c r="AB4594" s="1">
        <v>34</v>
      </c>
    </row>
    <row r="4595" spans="1:28" x14ac:dyDescent="0.15">
      <c r="A4595" s="1">
        <v>11432</v>
      </c>
      <c r="L4595" s="1" t="s">
        <v>2091</v>
      </c>
      <c r="N4595" s="1" t="s">
        <v>2092</v>
      </c>
      <c r="P4595" s="1" t="s">
        <v>2448</v>
      </c>
      <c r="Q4595" s="3">
        <v>0</v>
      </c>
      <c r="S4595" s="23" t="s">
        <v>5949</v>
      </c>
      <c r="W4595" s="45" t="str">
        <f>HYPERLINK("http://ictvonline.org/taxonomy/p/taxonomy-history?taxnode_id=201853421","ICTVonline=201853421")</f>
        <v>ICTVonline=201853421</v>
      </c>
      <c r="AA4595" s="1">
        <v>201850000</v>
      </c>
      <c r="AB4595" s="1">
        <v>34</v>
      </c>
    </row>
    <row r="4596" spans="1:28" x14ac:dyDescent="0.15">
      <c r="A4596" s="1">
        <v>11434</v>
      </c>
      <c r="L4596" s="1" t="s">
        <v>2091</v>
      </c>
      <c r="N4596" s="1" t="s">
        <v>2092</v>
      </c>
      <c r="P4596" s="1" t="s">
        <v>2449</v>
      </c>
      <c r="Q4596" s="3">
        <v>0</v>
      </c>
      <c r="S4596" s="23" t="s">
        <v>5949</v>
      </c>
      <c r="W4596" s="45" t="str">
        <f>HYPERLINK("http://ictvonline.org/taxonomy/p/taxonomy-history?taxnode_id=201853422","ICTVonline=201853422")</f>
        <v>ICTVonline=201853422</v>
      </c>
      <c r="AA4596" s="1">
        <v>201850000</v>
      </c>
      <c r="AB4596" s="1">
        <v>34</v>
      </c>
    </row>
    <row r="4597" spans="1:28" x14ac:dyDescent="0.15">
      <c r="A4597" s="1">
        <v>11436</v>
      </c>
      <c r="L4597" s="1" t="s">
        <v>2091</v>
      </c>
      <c r="N4597" s="1" t="s">
        <v>2092</v>
      </c>
      <c r="P4597" s="1" t="s">
        <v>1528</v>
      </c>
      <c r="Q4597" s="3">
        <v>0</v>
      </c>
      <c r="S4597" s="23" t="s">
        <v>5949</v>
      </c>
      <c r="W4597" s="45" t="str">
        <f>HYPERLINK("http://ictvonline.org/taxonomy/p/taxonomy-history?taxnode_id=201853423","ICTVonline=201853423")</f>
        <v>ICTVonline=201853423</v>
      </c>
      <c r="AA4597" s="1">
        <v>201850000</v>
      </c>
      <c r="AB4597" s="1">
        <v>34</v>
      </c>
    </row>
    <row r="4598" spans="1:28" x14ac:dyDescent="0.15">
      <c r="A4598" s="1">
        <v>11438</v>
      </c>
      <c r="L4598" s="1" t="s">
        <v>2091</v>
      </c>
      <c r="N4598" s="1" t="s">
        <v>2092</v>
      </c>
      <c r="P4598" s="1" t="s">
        <v>465</v>
      </c>
      <c r="Q4598" s="3">
        <v>0</v>
      </c>
      <c r="S4598" s="23" t="s">
        <v>5949</v>
      </c>
      <c r="W4598" s="45" t="str">
        <f>HYPERLINK("http://ictvonline.org/taxonomy/p/taxonomy-history?taxnode_id=201853424","ICTVonline=201853424")</f>
        <v>ICTVonline=201853424</v>
      </c>
      <c r="AA4598" s="1">
        <v>201850000</v>
      </c>
      <c r="AB4598" s="1">
        <v>34</v>
      </c>
    </row>
    <row r="4599" spans="1:28" x14ac:dyDescent="0.15">
      <c r="A4599" s="1">
        <v>11440</v>
      </c>
      <c r="L4599" s="1" t="s">
        <v>2091</v>
      </c>
      <c r="N4599" s="1" t="s">
        <v>2092</v>
      </c>
      <c r="P4599" s="1" t="s">
        <v>466</v>
      </c>
      <c r="Q4599" s="3">
        <v>0</v>
      </c>
      <c r="S4599" s="23" t="s">
        <v>5949</v>
      </c>
      <c r="W4599" s="45" t="str">
        <f>HYPERLINK("http://ictvonline.org/taxonomy/p/taxonomy-history?taxnode_id=201853425","ICTVonline=201853425")</f>
        <v>ICTVonline=201853425</v>
      </c>
      <c r="AA4599" s="1">
        <v>201850000</v>
      </c>
      <c r="AB4599" s="1">
        <v>34</v>
      </c>
    </row>
    <row r="4600" spans="1:28" x14ac:dyDescent="0.15">
      <c r="A4600" s="1">
        <v>11442</v>
      </c>
      <c r="L4600" s="1" t="s">
        <v>2091</v>
      </c>
      <c r="N4600" s="1" t="s">
        <v>2092</v>
      </c>
      <c r="P4600" s="1" t="s">
        <v>2450</v>
      </c>
      <c r="Q4600" s="3">
        <v>0</v>
      </c>
      <c r="S4600" s="23" t="s">
        <v>5949</v>
      </c>
      <c r="W4600" s="45" t="str">
        <f>HYPERLINK("http://ictvonline.org/taxonomy/p/taxonomy-history?taxnode_id=201853426","ICTVonline=201853426")</f>
        <v>ICTVonline=201853426</v>
      </c>
      <c r="AA4600" s="1">
        <v>201850000</v>
      </c>
      <c r="AB4600" s="1">
        <v>34</v>
      </c>
    </row>
    <row r="4601" spans="1:28" x14ac:dyDescent="0.15">
      <c r="A4601" s="1">
        <v>11444</v>
      </c>
      <c r="L4601" s="1" t="s">
        <v>2091</v>
      </c>
      <c r="N4601" s="1" t="s">
        <v>2092</v>
      </c>
      <c r="P4601" s="1" t="s">
        <v>2451</v>
      </c>
      <c r="Q4601" s="3">
        <v>0</v>
      </c>
      <c r="S4601" s="23" t="s">
        <v>5949</v>
      </c>
      <c r="W4601" s="45" t="str">
        <f>HYPERLINK("http://ictvonline.org/taxonomy/p/taxonomy-history?taxnode_id=201853427","ICTVonline=201853427")</f>
        <v>ICTVonline=201853427</v>
      </c>
      <c r="AA4601" s="1">
        <v>201850000</v>
      </c>
      <c r="AB4601" s="1">
        <v>34</v>
      </c>
    </row>
    <row r="4602" spans="1:28" x14ac:dyDescent="0.15">
      <c r="A4602" s="1">
        <v>11446</v>
      </c>
      <c r="L4602" s="1" t="s">
        <v>2091</v>
      </c>
      <c r="N4602" s="1" t="s">
        <v>2092</v>
      </c>
      <c r="P4602" s="1" t="s">
        <v>448</v>
      </c>
      <c r="Q4602" s="3">
        <v>0</v>
      </c>
      <c r="S4602" s="23" t="s">
        <v>5949</v>
      </c>
      <c r="W4602" s="45" t="str">
        <f>HYPERLINK("http://ictvonline.org/taxonomy/p/taxonomy-history?taxnode_id=201853428","ICTVonline=201853428")</f>
        <v>ICTVonline=201853428</v>
      </c>
      <c r="AA4602" s="1">
        <v>201850000</v>
      </c>
      <c r="AB4602" s="1">
        <v>34</v>
      </c>
    </row>
    <row r="4603" spans="1:28" x14ac:dyDescent="0.15">
      <c r="A4603" s="1">
        <v>11448</v>
      </c>
      <c r="L4603" s="1" t="s">
        <v>2091</v>
      </c>
      <c r="N4603" s="1" t="s">
        <v>2092</v>
      </c>
      <c r="P4603" s="1" t="s">
        <v>2452</v>
      </c>
      <c r="Q4603" s="3">
        <v>0</v>
      </c>
      <c r="S4603" s="23" t="s">
        <v>5949</v>
      </c>
      <c r="W4603" s="45" t="str">
        <f>HYPERLINK("http://ictvonline.org/taxonomy/p/taxonomy-history?taxnode_id=201853429","ICTVonline=201853429")</f>
        <v>ICTVonline=201853429</v>
      </c>
      <c r="AA4603" s="1">
        <v>201850000</v>
      </c>
      <c r="AB4603" s="1">
        <v>34</v>
      </c>
    </row>
    <row r="4604" spans="1:28" x14ac:dyDescent="0.15">
      <c r="A4604" s="1">
        <v>11450</v>
      </c>
      <c r="L4604" s="1" t="s">
        <v>2091</v>
      </c>
      <c r="N4604" s="1" t="s">
        <v>2092</v>
      </c>
      <c r="P4604" s="1" t="s">
        <v>7065</v>
      </c>
      <c r="Q4604" s="3">
        <v>0</v>
      </c>
      <c r="S4604" s="23" t="s">
        <v>5949</v>
      </c>
      <c r="T4604" s="23" t="s">
        <v>4929</v>
      </c>
      <c r="U4604" s="3">
        <v>34</v>
      </c>
      <c r="V4604" s="3" t="s">
        <v>7049</v>
      </c>
      <c r="W4604" s="45" t="str">
        <f>HYPERLINK("http://ictvonline.org/taxonomy/p/taxonomy-history?taxnode_id=201856709","ICTVonline=201856709")</f>
        <v>ICTVonline=201856709</v>
      </c>
      <c r="AA4604" s="1">
        <v>201850000</v>
      </c>
      <c r="AB4604" s="1">
        <v>34</v>
      </c>
    </row>
    <row r="4605" spans="1:28" x14ac:dyDescent="0.15">
      <c r="A4605" s="1">
        <v>11452</v>
      </c>
      <c r="L4605" s="1" t="s">
        <v>2091</v>
      </c>
      <c r="N4605" s="1" t="s">
        <v>2092</v>
      </c>
      <c r="P4605" s="1" t="s">
        <v>302</v>
      </c>
      <c r="Q4605" s="3">
        <v>0</v>
      </c>
      <c r="S4605" s="23" t="s">
        <v>5949</v>
      </c>
      <c r="W4605" s="45" t="str">
        <f>HYPERLINK("http://ictvonline.org/taxonomy/p/taxonomy-history?taxnode_id=201853430","ICTVonline=201853430")</f>
        <v>ICTVonline=201853430</v>
      </c>
      <c r="AA4605" s="1">
        <v>201850000</v>
      </c>
      <c r="AB4605" s="1">
        <v>34</v>
      </c>
    </row>
    <row r="4606" spans="1:28" x14ac:dyDescent="0.15">
      <c r="A4606" s="1">
        <v>11454</v>
      </c>
      <c r="L4606" s="1" t="s">
        <v>2091</v>
      </c>
      <c r="N4606" s="1" t="s">
        <v>2092</v>
      </c>
      <c r="P4606" s="1" t="s">
        <v>306</v>
      </c>
      <c r="Q4606" s="3">
        <v>0</v>
      </c>
      <c r="S4606" s="23" t="s">
        <v>5949</v>
      </c>
      <c r="W4606" s="45" t="str">
        <f>HYPERLINK("http://ictvonline.org/taxonomy/p/taxonomy-history?taxnode_id=201853431","ICTVonline=201853431")</f>
        <v>ICTVonline=201853431</v>
      </c>
      <c r="AA4606" s="1">
        <v>201850000</v>
      </c>
      <c r="AB4606" s="1">
        <v>34</v>
      </c>
    </row>
    <row r="4607" spans="1:28" x14ac:dyDescent="0.15">
      <c r="A4607" s="1">
        <v>11456</v>
      </c>
      <c r="L4607" s="1" t="s">
        <v>2091</v>
      </c>
      <c r="N4607" s="1" t="s">
        <v>2092</v>
      </c>
      <c r="P4607" s="1" t="s">
        <v>863</v>
      </c>
      <c r="Q4607" s="3">
        <v>0</v>
      </c>
      <c r="S4607" s="23" t="s">
        <v>5949</v>
      </c>
      <c r="W4607" s="45" t="str">
        <f>HYPERLINK("http://ictvonline.org/taxonomy/p/taxonomy-history?taxnode_id=201853432","ICTVonline=201853432")</f>
        <v>ICTVonline=201853432</v>
      </c>
      <c r="AA4607" s="1">
        <v>201850000</v>
      </c>
      <c r="AB4607" s="1">
        <v>34</v>
      </c>
    </row>
    <row r="4608" spans="1:28" x14ac:dyDescent="0.15">
      <c r="A4608" s="1">
        <v>11458</v>
      </c>
      <c r="L4608" s="1" t="s">
        <v>2091</v>
      </c>
      <c r="N4608" s="1" t="s">
        <v>2092</v>
      </c>
      <c r="P4608" s="1" t="s">
        <v>7066</v>
      </c>
      <c r="Q4608" s="3">
        <v>0</v>
      </c>
      <c r="S4608" s="23" t="s">
        <v>5949</v>
      </c>
      <c r="T4608" s="23" t="s">
        <v>4929</v>
      </c>
      <c r="U4608" s="3">
        <v>34</v>
      </c>
      <c r="V4608" s="3" t="s">
        <v>7049</v>
      </c>
      <c r="W4608" s="45" t="str">
        <f>HYPERLINK("http://ictvonline.org/taxonomy/p/taxonomy-history?taxnode_id=201856713","ICTVonline=201856713")</f>
        <v>ICTVonline=201856713</v>
      </c>
      <c r="AA4608" s="1">
        <v>201850000</v>
      </c>
      <c r="AB4608" s="1">
        <v>34</v>
      </c>
    </row>
    <row r="4609" spans="1:28" x14ac:dyDescent="0.15">
      <c r="A4609" s="1">
        <v>11460</v>
      </c>
      <c r="L4609" s="1" t="s">
        <v>2091</v>
      </c>
      <c r="N4609" s="1" t="s">
        <v>2092</v>
      </c>
      <c r="P4609" s="1" t="s">
        <v>7067</v>
      </c>
      <c r="Q4609" s="3">
        <v>0</v>
      </c>
      <c r="S4609" s="23" t="s">
        <v>5949</v>
      </c>
      <c r="T4609" s="23" t="s">
        <v>4929</v>
      </c>
      <c r="U4609" s="3">
        <v>34</v>
      </c>
      <c r="V4609" s="3" t="s">
        <v>7049</v>
      </c>
      <c r="W4609" s="45" t="str">
        <f>HYPERLINK("http://ictvonline.org/taxonomy/p/taxonomy-history?taxnode_id=201856714","ICTVonline=201856714")</f>
        <v>ICTVonline=201856714</v>
      </c>
      <c r="AA4609" s="1">
        <v>201850000</v>
      </c>
      <c r="AB4609" s="1">
        <v>34</v>
      </c>
    </row>
    <row r="4610" spans="1:28" x14ac:dyDescent="0.15">
      <c r="A4610" s="1">
        <v>11462</v>
      </c>
      <c r="L4610" s="1" t="s">
        <v>2091</v>
      </c>
      <c r="N4610" s="1" t="s">
        <v>2092</v>
      </c>
      <c r="P4610" s="1" t="s">
        <v>1529</v>
      </c>
      <c r="Q4610" s="3">
        <v>0</v>
      </c>
      <c r="S4610" s="23" t="s">
        <v>5949</v>
      </c>
      <c r="W4610" s="45" t="str">
        <f>HYPERLINK("http://ictvonline.org/taxonomy/p/taxonomy-history?taxnode_id=201853433","ICTVonline=201853433")</f>
        <v>ICTVonline=201853433</v>
      </c>
      <c r="AA4610" s="1">
        <v>201850000</v>
      </c>
      <c r="AB4610" s="1">
        <v>34</v>
      </c>
    </row>
    <row r="4611" spans="1:28" x14ac:dyDescent="0.15">
      <c r="A4611" s="1">
        <v>11464</v>
      </c>
      <c r="L4611" s="1" t="s">
        <v>2091</v>
      </c>
      <c r="N4611" s="1" t="s">
        <v>2092</v>
      </c>
      <c r="P4611" s="1" t="s">
        <v>1530</v>
      </c>
      <c r="Q4611" s="3">
        <v>0</v>
      </c>
      <c r="S4611" s="23" t="s">
        <v>5949</v>
      </c>
      <c r="W4611" s="45" t="str">
        <f>HYPERLINK("http://ictvonline.org/taxonomy/p/taxonomy-history?taxnode_id=201853434","ICTVonline=201853434")</f>
        <v>ICTVonline=201853434</v>
      </c>
      <c r="AA4611" s="1">
        <v>201850000</v>
      </c>
      <c r="AB4611" s="1">
        <v>34</v>
      </c>
    </row>
    <row r="4612" spans="1:28" x14ac:dyDescent="0.15">
      <c r="A4612" s="1">
        <v>11466</v>
      </c>
      <c r="L4612" s="1" t="s">
        <v>2091</v>
      </c>
      <c r="N4612" s="1" t="s">
        <v>2092</v>
      </c>
      <c r="P4612" s="1" t="s">
        <v>3816</v>
      </c>
      <c r="Q4612" s="3">
        <v>0</v>
      </c>
      <c r="S4612" s="23" t="s">
        <v>5949</v>
      </c>
      <c r="W4612" s="45" t="str">
        <f>HYPERLINK("http://ictvonline.org/taxonomy/p/taxonomy-history?taxnode_id=201853435","ICTVonline=201853435")</f>
        <v>ICTVonline=201853435</v>
      </c>
      <c r="AA4612" s="1">
        <v>201850000</v>
      </c>
      <c r="AB4612" s="1">
        <v>34</v>
      </c>
    </row>
    <row r="4613" spans="1:28" x14ac:dyDescent="0.15">
      <c r="A4613" s="1">
        <v>11468</v>
      </c>
      <c r="L4613" s="1" t="s">
        <v>2091</v>
      </c>
      <c r="N4613" s="1" t="s">
        <v>2092</v>
      </c>
      <c r="P4613" s="1" t="s">
        <v>1531</v>
      </c>
      <c r="Q4613" s="3">
        <v>0</v>
      </c>
      <c r="S4613" s="23" t="s">
        <v>5949</v>
      </c>
      <c r="W4613" s="45" t="str">
        <f>HYPERLINK("http://ictvonline.org/taxonomy/p/taxonomy-history?taxnode_id=201853436","ICTVonline=201853436")</f>
        <v>ICTVonline=201853436</v>
      </c>
      <c r="AA4613" s="1">
        <v>201850000</v>
      </c>
      <c r="AB4613" s="1">
        <v>34</v>
      </c>
    </row>
    <row r="4614" spans="1:28" x14ac:dyDescent="0.15">
      <c r="A4614" s="1">
        <v>11470</v>
      </c>
      <c r="L4614" s="1" t="s">
        <v>2091</v>
      </c>
      <c r="N4614" s="1" t="s">
        <v>2092</v>
      </c>
      <c r="P4614" s="1" t="s">
        <v>1532</v>
      </c>
      <c r="Q4614" s="3">
        <v>0</v>
      </c>
      <c r="S4614" s="23" t="s">
        <v>5949</v>
      </c>
      <c r="W4614" s="45" t="str">
        <f>HYPERLINK("http://ictvonline.org/taxonomy/p/taxonomy-history?taxnode_id=201853437","ICTVonline=201853437")</f>
        <v>ICTVonline=201853437</v>
      </c>
      <c r="AA4614" s="1">
        <v>201850000</v>
      </c>
      <c r="AB4614" s="1">
        <v>34</v>
      </c>
    </row>
    <row r="4615" spans="1:28" x14ac:dyDescent="0.15">
      <c r="A4615" s="1">
        <v>11472</v>
      </c>
      <c r="L4615" s="1" t="s">
        <v>2091</v>
      </c>
      <c r="N4615" s="1" t="s">
        <v>2092</v>
      </c>
      <c r="P4615" s="1" t="s">
        <v>1533</v>
      </c>
      <c r="Q4615" s="3">
        <v>0</v>
      </c>
      <c r="S4615" s="23" t="s">
        <v>5949</v>
      </c>
      <c r="W4615" s="45" t="str">
        <f>HYPERLINK("http://ictvonline.org/taxonomy/p/taxonomy-history?taxnode_id=201853438","ICTVonline=201853438")</f>
        <v>ICTVonline=201853438</v>
      </c>
      <c r="AA4615" s="1">
        <v>201850000</v>
      </c>
      <c r="AB4615" s="1">
        <v>34</v>
      </c>
    </row>
    <row r="4616" spans="1:28" x14ac:dyDescent="0.15">
      <c r="A4616" s="1">
        <v>11474</v>
      </c>
      <c r="L4616" s="1" t="s">
        <v>2091</v>
      </c>
      <c r="N4616" s="1" t="s">
        <v>2092</v>
      </c>
      <c r="P4616" s="1" t="s">
        <v>2453</v>
      </c>
      <c r="Q4616" s="3">
        <v>0</v>
      </c>
      <c r="S4616" s="23" t="s">
        <v>5949</v>
      </c>
      <c r="W4616" s="45" t="str">
        <f>HYPERLINK("http://ictvonline.org/taxonomy/p/taxonomy-history?taxnode_id=201853439","ICTVonline=201853439")</f>
        <v>ICTVonline=201853439</v>
      </c>
      <c r="AA4616" s="1">
        <v>201850000</v>
      </c>
      <c r="AB4616" s="1">
        <v>34</v>
      </c>
    </row>
    <row r="4617" spans="1:28" x14ac:dyDescent="0.15">
      <c r="A4617" s="1">
        <v>11476</v>
      </c>
      <c r="L4617" s="1" t="s">
        <v>2091</v>
      </c>
      <c r="N4617" s="1" t="s">
        <v>2092</v>
      </c>
      <c r="P4617" s="1" t="s">
        <v>2454</v>
      </c>
      <c r="Q4617" s="3">
        <v>0</v>
      </c>
      <c r="S4617" s="23" t="s">
        <v>5949</v>
      </c>
      <c r="W4617" s="45" t="str">
        <f>HYPERLINK("http://ictvonline.org/taxonomy/p/taxonomy-history?taxnode_id=201853440","ICTVonline=201853440")</f>
        <v>ICTVonline=201853440</v>
      </c>
      <c r="AA4617" s="1">
        <v>201850000</v>
      </c>
      <c r="AB4617" s="1">
        <v>34</v>
      </c>
    </row>
    <row r="4618" spans="1:28" x14ac:dyDescent="0.15">
      <c r="A4618" s="1">
        <v>11478</v>
      </c>
      <c r="L4618" s="1" t="s">
        <v>2091</v>
      </c>
      <c r="N4618" s="1" t="s">
        <v>2092</v>
      </c>
      <c r="P4618" s="1" t="s">
        <v>2455</v>
      </c>
      <c r="Q4618" s="3">
        <v>0</v>
      </c>
      <c r="S4618" s="23" t="s">
        <v>5949</v>
      </c>
      <c r="W4618" s="45" t="str">
        <f>HYPERLINK("http://ictvonline.org/taxonomy/p/taxonomy-history?taxnode_id=201853441","ICTVonline=201853441")</f>
        <v>ICTVonline=201853441</v>
      </c>
      <c r="AA4618" s="1">
        <v>201850000</v>
      </c>
      <c r="AB4618" s="1">
        <v>34</v>
      </c>
    </row>
    <row r="4619" spans="1:28" x14ac:dyDescent="0.15">
      <c r="A4619" s="1">
        <v>11480</v>
      </c>
      <c r="L4619" s="1" t="s">
        <v>2091</v>
      </c>
      <c r="N4619" s="1" t="s">
        <v>2092</v>
      </c>
      <c r="P4619" s="1" t="s">
        <v>1534</v>
      </c>
      <c r="Q4619" s="3">
        <v>0</v>
      </c>
      <c r="S4619" s="23" t="s">
        <v>5949</v>
      </c>
      <c r="W4619" s="45" t="str">
        <f>HYPERLINK("http://ictvonline.org/taxonomy/p/taxonomy-history?taxnode_id=201853442","ICTVonline=201853442")</f>
        <v>ICTVonline=201853442</v>
      </c>
      <c r="AA4619" s="1">
        <v>201850000</v>
      </c>
      <c r="AB4619" s="1">
        <v>34</v>
      </c>
    </row>
    <row r="4620" spans="1:28" x14ac:dyDescent="0.15">
      <c r="A4620" s="1">
        <v>11482</v>
      </c>
      <c r="L4620" s="1" t="s">
        <v>2091</v>
      </c>
      <c r="N4620" s="1" t="s">
        <v>2092</v>
      </c>
      <c r="P4620" s="1" t="s">
        <v>3817</v>
      </c>
      <c r="Q4620" s="3">
        <v>0</v>
      </c>
      <c r="S4620" s="23" t="s">
        <v>5949</v>
      </c>
      <c r="W4620" s="45" t="str">
        <f>HYPERLINK("http://ictvonline.org/taxonomy/p/taxonomy-history?taxnode_id=201853443","ICTVonline=201853443")</f>
        <v>ICTVonline=201853443</v>
      </c>
      <c r="AA4620" s="1">
        <v>201850000</v>
      </c>
      <c r="AB4620" s="1">
        <v>34</v>
      </c>
    </row>
    <row r="4621" spans="1:28" x14ac:dyDescent="0.15">
      <c r="A4621" s="1">
        <v>11484</v>
      </c>
      <c r="L4621" s="1" t="s">
        <v>2091</v>
      </c>
      <c r="N4621" s="1" t="s">
        <v>2092</v>
      </c>
      <c r="P4621" s="1" t="s">
        <v>3818</v>
      </c>
      <c r="Q4621" s="3">
        <v>0</v>
      </c>
      <c r="S4621" s="23" t="s">
        <v>5949</v>
      </c>
      <c r="W4621" s="45" t="str">
        <f>HYPERLINK("http://ictvonline.org/taxonomy/p/taxonomy-history?taxnode_id=201853444","ICTVonline=201853444")</f>
        <v>ICTVonline=201853444</v>
      </c>
      <c r="AA4621" s="1">
        <v>201850000</v>
      </c>
      <c r="AB4621" s="1">
        <v>34</v>
      </c>
    </row>
    <row r="4622" spans="1:28" x14ac:dyDescent="0.15">
      <c r="A4622" s="1">
        <v>11486</v>
      </c>
      <c r="L4622" s="1" t="s">
        <v>2091</v>
      </c>
      <c r="N4622" s="1" t="s">
        <v>2092</v>
      </c>
      <c r="P4622" s="1" t="s">
        <v>7068</v>
      </c>
      <c r="Q4622" s="3">
        <v>0</v>
      </c>
      <c r="S4622" s="23" t="s">
        <v>5949</v>
      </c>
      <c r="T4622" s="23" t="s">
        <v>4929</v>
      </c>
      <c r="U4622" s="3">
        <v>34</v>
      </c>
      <c r="V4622" s="3" t="s">
        <v>7049</v>
      </c>
      <c r="W4622" s="45" t="str">
        <f>HYPERLINK("http://ictvonline.org/taxonomy/p/taxonomy-history?taxnode_id=201856711","ICTVonline=201856711")</f>
        <v>ICTVonline=201856711</v>
      </c>
      <c r="AA4622" s="1">
        <v>201850000</v>
      </c>
      <c r="AB4622" s="1">
        <v>34</v>
      </c>
    </row>
    <row r="4623" spans="1:28" x14ac:dyDescent="0.15">
      <c r="A4623" s="1">
        <v>11488</v>
      </c>
      <c r="L4623" s="1" t="s">
        <v>2091</v>
      </c>
      <c r="N4623" s="1" t="s">
        <v>2092</v>
      </c>
      <c r="P4623" s="1" t="s">
        <v>2456</v>
      </c>
      <c r="Q4623" s="3">
        <v>0</v>
      </c>
      <c r="S4623" s="23" t="s">
        <v>5949</v>
      </c>
      <c r="W4623" s="45" t="str">
        <f>HYPERLINK("http://ictvonline.org/taxonomy/p/taxonomy-history?taxnode_id=201853445","ICTVonline=201853445")</f>
        <v>ICTVonline=201853445</v>
      </c>
      <c r="AA4623" s="1">
        <v>201850000</v>
      </c>
      <c r="AB4623" s="1">
        <v>34</v>
      </c>
    </row>
    <row r="4624" spans="1:28" x14ac:dyDescent="0.15">
      <c r="A4624" s="1">
        <v>11490</v>
      </c>
      <c r="L4624" s="1" t="s">
        <v>2091</v>
      </c>
      <c r="N4624" s="1" t="s">
        <v>2092</v>
      </c>
      <c r="P4624" s="1" t="s">
        <v>3819</v>
      </c>
      <c r="Q4624" s="3">
        <v>0</v>
      </c>
      <c r="S4624" s="23" t="s">
        <v>5949</v>
      </c>
      <c r="W4624" s="45" t="str">
        <f>HYPERLINK("http://ictvonline.org/taxonomy/p/taxonomy-history?taxnode_id=201853447","ICTVonline=201853447")</f>
        <v>ICTVonline=201853447</v>
      </c>
      <c r="AA4624" s="1">
        <v>201850000</v>
      </c>
      <c r="AB4624" s="1">
        <v>34</v>
      </c>
    </row>
    <row r="4625" spans="1:28" x14ac:dyDescent="0.15">
      <c r="A4625" s="1">
        <v>11492</v>
      </c>
      <c r="L4625" s="1" t="s">
        <v>2091</v>
      </c>
      <c r="N4625" s="1" t="s">
        <v>2092</v>
      </c>
      <c r="P4625" s="1" t="s">
        <v>3820</v>
      </c>
      <c r="Q4625" s="3">
        <v>0</v>
      </c>
      <c r="S4625" s="23" t="s">
        <v>5949</v>
      </c>
      <c r="W4625" s="45" t="str">
        <f>HYPERLINK("http://ictvonline.org/taxonomy/p/taxonomy-history?taxnode_id=201853448","ICTVonline=201853448")</f>
        <v>ICTVonline=201853448</v>
      </c>
      <c r="AA4625" s="1">
        <v>201850000</v>
      </c>
      <c r="AB4625" s="1">
        <v>34</v>
      </c>
    </row>
    <row r="4626" spans="1:28" x14ac:dyDescent="0.15">
      <c r="A4626" s="1">
        <v>11494</v>
      </c>
      <c r="L4626" s="1" t="s">
        <v>2091</v>
      </c>
      <c r="N4626" s="1" t="s">
        <v>2092</v>
      </c>
      <c r="P4626" s="1" t="s">
        <v>1535</v>
      </c>
      <c r="Q4626" s="3">
        <v>0</v>
      </c>
      <c r="S4626" s="23" t="s">
        <v>5949</v>
      </c>
      <c r="W4626" s="45" t="str">
        <f>HYPERLINK("http://ictvonline.org/taxonomy/p/taxonomy-history?taxnode_id=201853449","ICTVonline=201853449")</f>
        <v>ICTVonline=201853449</v>
      </c>
      <c r="AA4626" s="1">
        <v>201850000</v>
      </c>
      <c r="AB4626" s="1">
        <v>34</v>
      </c>
    </row>
    <row r="4627" spans="1:28" x14ac:dyDescent="0.15">
      <c r="A4627" s="1">
        <v>11496</v>
      </c>
      <c r="L4627" s="1" t="s">
        <v>2091</v>
      </c>
      <c r="N4627" s="1" t="s">
        <v>2092</v>
      </c>
      <c r="P4627" s="1" t="s">
        <v>1536</v>
      </c>
      <c r="Q4627" s="3">
        <v>0</v>
      </c>
      <c r="S4627" s="23" t="s">
        <v>5949</v>
      </c>
      <c r="W4627" s="45" t="str">
        <f>HYPERLINK("http://ictvonline.org/taxonomy/p/taxonomy-history?taxnode_id=201853450","ICTVonline=201853450")</f>
        <v>ICTVonline=201853450</v>
      </c>
      <c r="AA4627" s="1">
        <v>201850000</v>
      </c>
      <c r="AB4627" s="1">
        <v>34</v>
      </c>
    </row>
    <row r="4628" spans="1:28" x14ac:dyDescent="0.15">
      <c r="A4628" s="1">
        <v>11498</v>
      </c>
      <c r="L4628" s="1" t="s">
        <v>2091</v>
      </c>
      <c r="N4628" s="1" t="s">
        <v>2092</v>
      </c>
      <c r="P4628" s="1" t="s">
        <v>7069</v>
      </c>
      <c r="Q4628" s="3">
        <v>0</v>
      </c>
      <c r="S4628" s="23" t="s">
        <v>5949</v>
      </c>
      <c r="T4628" s="23" t="s">
        <v>4929</v>
      </c>
      <c r="U4628" s="3">
        <v>34</v>
      </c>
      <c r="V4628" s="3" t="s">
        <v>7049</v>
      </c>
      <c r="W4628" s="45" t="str">
        <f>HYPERLINK("http://ictvonline.org/taxonomy/p/taxonomy-history?taxnode_id=201856710","ICTVonline=201856710")</f>
        <v>ICTVonline=201856710</v>
      </c>
      <c r="AA4628" s="1">
        <v>201850000</v>
      </c>
      <c r="AB4628" s="1">
        <v>34</v>
      </c>
    </row>
    <row r="4629" spans="1:28" x14ac:dyDescent="0.15">
      <c r="A4629" s="1">
        <v>11500</v>
      </c>
      <c r="L4629" s="1" t="s">
        <v>2091</v>
      </c>
      <c r="N4629" s="1" t="s">
        <v>2092</v>
      </c>
      <c r="P4629" s="1" t="s">
        <v>3821</v>
      </c>
      <c r="Q4629" s="3">
        <v>0</v>
      </c>
      <c r="S4629" s="23" t="s">
        <v>5949</v>
      </c>
      <c r="W4629" s="45" t="str">
        <f>HYPERLINK("http://ictvonline.org/taxonomy/p/taxonomy-history?taxnode_id=201853451","ICTVonline=201853451")</f>
        <v>ICTVonline=201853451</v>
      </c>
      <c r="AA4629" s="1">
        <v>201850000</v>
      </c>
      <c r="AB4629" s="1">
        <v>34</v>
      </c>
    </row>
    <row r="4630" spans="1:28" x14ac:dyDescent="0.15">
      <c r="A4630" s="1">
        <v>11502</v>
      </c>
      <c r="L4630" s="1" t="s">
        <v>2091</v>
      </c>
      <c r="N4630" s="1" t="s">
        <v>2092</v>
      </c>
      <c r="P4630" s="1" t="s">
        <v>1537</v>
      </c>
      <c r="Q4630" s="3">
        <v>0</v>
      </c>
      <c r="S4630" s="23" t="s">
        <v>5949</v>
      </c>
      <c r="W4630" s="45" t="str">
        <f>HYPERLINK("http://ictvonline.org/taxonomy/p/taxonomy-history?taxnode_id=201853452","ICTVonline=201853452")</f>
        <v>ICTVonline=201853452</v>
      </c>
      <c r="AA4630" s="1">
        <v>201850000</v>
      </c>
      <c r="AB4630" s="1">
        <v>34</v>
      </c>
    </row>
    <row r="4631" spans="1:28" x14ac:dyDescent="0.15">
      <c r="A4631" s="1">
        <v>11504</v>
      </c>
      <c r="L4631" s="1" t="s">
        <v>2091</v>
      </c>
      <c r="N4631" s="1" t="s">
        <v>2092</v>
      </c>
      <c r="P4631" s="1" t="s">
        <v>1538</v>
      </c>
      <c r="Q4631" s="3">
        <v>0</v>
      </c>
      <c r="S4631" s="23" t="s">
        <v>5949</v>
      </c>
      <c r="W4631" s="45" t="str">
        <f>HYPERLINK("http://ictvonline.org/taxonomy/p/taxonomy-history?taxnode_id=201853453","ICTVonline=201853453")</f>
        <v>ICTVonline=201853453</v>
      </c>
      <c r="AA4631" s="1">
        <v>201850000</v>
      </c>
      <c r="AB4631" s="1">
        <v>34</v>
      </c>
    </row>
    <row r="4632" spans="1:28" x14ac:dyDescent="0.15">
      <c r="A4632" s="1">
        <v>11506</v>
      </c>
      <c r="L4632" s="1" t="s">
        <v>2091</v>
      </c>
      <c r="N4632" s="1" t="s">
        <v>2092</v>
      </c>
      <c r="P4632" s="1" t="s">
        <v>1539</v>
      </c>
      <c r="Q4632" s="3">
        <v>0</v>
      </c>
      <c r="S4632" s="23" t="s">
        <v>5949</v>
      </c>
      <c r="W4632" s="45" t="str">
        <f>HYPERLINK("http://ictvonline.org/taxonomy/p/taxonomy-history?taxnode_id=201853454","ICTVonline=201853454")</f>
        <v>ICTVonline=201853454</v>
      </c>
      <c r="AA4632" s="1">
        <v>201850000</v>
      </c>
      <c r="AB4632" s="1">
        <v>34</v>
      </c>
    </row>
    <row r="4633" spans="1:28" x14ac:dyDescent="0.15">
      <c r="A4633" s="1">
        <v>11508</v>
      </c>
      <c r="L4633" s="1" t="s">
        <v>2091</v>
      </c>
      <c r="N4633" s="1" t="s">
        <v>2092</v>
      </c>
      <c r="P4633" s="1" t="s">
        <v>1540</v>
      </c>
      <c r="Q4633" s="3">
        <v>0</v>
      </c>
      <c r="S4633" s="23" t="s">
        <v>5949</v>
      </c>
      <c r="W4633" s="45" t="str">
        <f>HYPERLINK("http://ictvonline.org/taxonomy/p/taxonomy-history?taxnode_id=201853455","ICTVonline=201853455")</f>
        <v>ICTVonline=201853455</v>
      </c>
      <c r="AA4633" s="1">
        <v>201850000</v>
      </c>
      <c r="AB4633" s="1">
        <v>34</v>
      </c>
    </row>
    <row r="4634" spans="1:28" x14ac:dyDescent="0.15">
      <c r="A4634" s="1">
        <v>11510</v>
      </c>
      <c r="L4634" s="1" t="s">
        <v>2091</v>
      </c>
      <c r="N4634" s="1" t="s">
        <v>2092</v>
      </c>
      <c r="P4634" s="1" t="s">
        <v>3822</v>
      </c>
      <c r="Q4634" s="3">
        <v>0</v>
      </c>
      <c r="S4634" s="23" t="s">
        <v>5949</v>
      </c>
      <c r="W4634" s="45" t="str">
        <f>HYPERLINK("http://ictvonline.org/taxonomy/p/taxonomy-history?taxnode_id=201853456","ICTVonline=201853456")</f>
        <v>ICTVonline=201853456</v>
      </c>
      <c r="AA4634" s="1">
        <v>201850000</v>
      </c>
      <c r="AB4634" s="1">
        <v>34</v>
      </c>
    </row>
    <row r="4635" spans="1:28" x14ac:dyDescent="0.15">
      <c r="A4635" s="1">
        <v>11512</v>
      </c>
      <c r="L4635" s="1" t="s">
        <v>2091</v>
      </c>
      <c r="N4635" s="1" t="s">
        <v>2092</v>
      </c>
      <c r="P4635" s="1" t="s">
        <v>1541</v>
      </c>
      <c r="Q4635" s="3">
        <v>0</v>
      </c>
      <c r="S4635" s="23" t="s">
        <v>5949</v>
      </c>
      <c r="W4635" s="45" t="str">
        <f>HYPERLINK("http://ictvonline.org/taxonomy/p/taxonomy-history?taxnode_id=201853457","ICTVonline=201853457")</f>
        <v>ICTVonline=201853457</v>
      </c>
      <c r="AA4635" s="1">
        <v>201850000</v>
      </c>
      <c r="AB4635" s="1">
        <v>34</v>
      </c>
    </row>
    <row r="4636" spans="1:28" x14ac:dyDescent="0.15">
      <c r="A4636" s="1">
        <v>11514</v>
      </c>
      <c r="L4636" s="1" t="s">
        <v>2091</v>
      </c>
      <c r="N4636" s="1" t="s">
        <v>2092</v>
      </c>
      <c r="P4636" s="1" t="s">
        <v>7070</v>
      </c>
      <c r="Q4636" s="3">
        <v>0</v>
      </c>
      <c r="S4636" s="23" t="s">
        <v>5949</v>
      </c>
      <c r="T4636" s="23" t="s">
        <v>4929</v>
      </c>
      <c r="U4636" s="3">
        <v>34</v>
      </c>
      <c r="V4636" s="3" t="s">
        <v>7049</v>
      </c>
      <c r="W4636" s="45" t="str">
        <f>HYPERLINK("http://ictvonline.org/taxonomy/p/taxonomy-history?taxnode_id=201856712","ICTVonline=201856712")</f>
        <v>ICTVonline=201856712</v>
      </c>
      <c r="AA4636" s="1">
        <v>201850000</v>
      </c>
      <c r="AB4636" s="1">
        <v>34</v>
      </c>
    </row>
    <row r="4637" spans="1:28" x14ac:dyDescent="0.15">
      <c r="A4637" s="1">
        <v>11516</v>
      </c>
      <c r="L4637" s="1" t="s">
        <v>2091</v>
      </c>
      <c r="N4637" s="1" t="s">
        <v>2092</v>
      </c>
      <c r="P4637" s="1" t="s">
        <v>2457</v>
      </c>
      <c r="Q4637" s="3">
        <v>0</v>
      </c>
      <c r="S4637" s="23" t="s">
        <v>5949</v>
      </c>
      <c r="W4637" s="45" t="str">
        <f>HYPERLINK("http://ictvonline.org/taxonomy/p/taxonomy-history?taxnode_id=201853458","ICTVonline=201853458")</f>
        <v>ICTVonline=201853458</v>
      </c>
      <c r="AA4637" s="1">
        <v>201850000</v>
      </c>
      <c r="AB4637" s="1">
        <v>34</v>
      </c>
    </row>
    <row r="4638" spans="1:28" x14ac:dyDescent="0.15">
      <c r="A4638" s="1">
        <v>11518</v>
      </c>
      <c r="L4638" s="1" t="s">
        <v>2091</v>
      </c>
      <c r="N4638" s="1" t="s">
        <v>2092</v>
      </c>
      <c r="P4638" s="1" t="s">
        <v>1542</v>
      </c>
      <c r="Q4638" s="3">
        <v>0</v>
      </c>
      <c r="S4638" s="23" t="s">
        <v>5949</v>
      </c>
      <c r="W4638" s="45" t="str">
        <f>HYPERLINK("http://ictvonline.org/taxonomy/p/taxonomy-history?taxnode_id=201853459","ICTVonline=201853459")</f>
        <v>ICTVonline=201853459</v>
      </c>
      <c r="AA4638" s="1">
        <v>201850000</v>
      </c>
      <c r="AB4638" s="1">
        <v>34</v>
      </c>
    </row>
    <row r="4639" spans="1:28" x14ac:dyDescent="0.15">
      <c r="A4639" s="1">
        <v>11520</v>
      </c>
      <c r="L4639" s="1" t="s">
        <v>2091</v>
      </c>
      <c r="N4639" s="1" t="s">
        <v>2092</v>
      </c>
      <c r="P4639" s="1" t="s">
        <v>1543</v>
      </c>
      <c r="Q4639" s="3">
        <v>0</v>
      </c>
      <c r="S4639" s="23" t="s">
        <v>5949</v>
      </c>
      <c r="W4639" s="45" t="str">
        <f>HYPERLINK("http://ictvonline.org/taxonomy/p/taxonomy-history?taxnode_id=201853460","ICTVonline=201853460")</f>
        <v>ICTVonline=201853460</v>
      </c>
      <c r="AA4639" s="1">
        <v>201850000</v>
      </c>
      <c r="AB4639" s="1">
        <v>34</v>
      </c>
    </row>
    <row r="4640" spans="1:28" x14ac:dyDescent="0.15">
      <c r="A4640" s="1">
        <v>11522</v>
      </c>
      <c r="L4640" s="1" t="s">
        <v>2091</v>
      </c>
      <c r="N4640" s="1" t="s">
        <v>2092</v>
      </c>
      <c r="P4640" s="1" t="s">
        <v>1544</v>
      </c>
      <c r="Q4640" s="3">
        <v>0</v>
      </c>
      <c r="S4640" s="23" t="s">
        <v>5949</v>
      </c>
      <c r="W4640" s="45" t="str">
        <f>HYPERLINK("http://ictvonline.org/taxonomy/p/taxonomy-history?taxnode_id=201853461","ICTVonline=201853461")</f>
        <v>ICTVonline=201853461</v>
      </c>
      <c r="AA4640" s="1">
        <v>201850000</v>
      </c>
      <c r="AB4640" s="1">
        <v>34</v>
      </c>
    </row>
    <row r="4641" spans="1:28" x14ac:dyDescent="0.15">
      <c r="A4641" s="1">
        <v>11524</v>
      </c>
      <c r="L4641" s="1" t="s">
        <v>2091</v>
      </c>
      <c r="N4641" s="1" t="s">
        <v>2092</v>
      </c>
      <c r="P4641" s="1" t="s">
        <v>2458</v>
      </c>
      <c r="Q4641" s="3">
        <v>0</v>
      </c>
      <c r="S4641" s="23" t="s">
        <v>5949</v>
      </c>
      <c r="W4641" s="45" t="str">
        <f>HYPERLINK("http://ictvonline.org/taxonomy/p/taxonomy-history?taxnode_id=201853462","ICTVonline=201853462")</f>
        <v>ICTVonline=201853462</v>
      </c>
      <c r="AA4641" s="1">
        <v>201850000</v>
      </c>
      <c r="AB4641" s="1">
        <v>34</v>
      </c>
    </row>
    <row r="4642" spans="1:28" x14ac:dyDescent="0.15">
      <c r="A4642" s="1">
        <v>11526</v>
      </c>
      <c r="L4642" s="1" t="s">
        <v>2091</v>
      </c>
      <c r="N4642" s="1" t="s">
        <v>2092</v>
      </c>
      <c r="P4642" s="1" t="s">
        <v>2459</v>
      </c>
      <c r="Q4642" s="3">
        <v>0</v>
      </c>
      <c r="S4642" s="23" t="s">
        <v>5949</v>
      </c>
      <c r="W4642" s="45" t="str">
        <f>HYPERLINK("http://ictvonline.org/taxonomy/p/taxonomy-history?taxnode_id=201853463","ICTVonline=201853463")</f>
        <v>ICTVonline=201853463</v>
      </c>
      <c r="AA4642" s="1">
        <v>201850000</v>
      </c>
      <c r="AB4642" s="1">
        <v>34</v>
      </c>
    </row>
    <row r="4643" spans="1:28" x14ac:dyDescent="0.15">
      <c r="A4643" s="1">
        <v>11528</v>
      </c>
      <c r="L4643" s="1" t="s">
        <v>2091</v>
      </c>
      <c r="N4643" s="1" t="s">
        <v>2092</v>
      </c>
      <c r="P4643" s="1" t="s">
        <v>2460</v>
      </c>
      <c r="Q4643" s="3">
        <v>0</v>
      </c>
      <c r="S4643" s="23" t="s">
        <v>5949</v>
      </c>
      <c r="W4643" s="45" t="str">
        <f>HYPERLINK("http://ictvonline.org/taxonomy/p/taxonomy-history?taxnode_id=201853464","ICTVonline=201853464")</f>
        <v>ICTVonline=201853464</v>
      </c>
      <c r="AA4643" s="1">
        <v>201850000</v>
      </c>
      <c r="AB4643" s="1">
        <v>34</v>
      </c>
    </row>
    <row r="4644" spans="1:28" x14ac:dyDescent="0.15">
      <c r="A4644" s="1">
        <v>11530</v>
      </c>
      <c r="L4644" s="1" t="s">
        <v>2091</v>
      </c>
      <c r="N4644" s="1" t="s">
        <v>2092</v>
      </c>
      <c r="P4644" s="1" t="s">
        <v>1545</v>
      </c>
      <c r="Q4644" s="3">
        <v>0</v>
      </c>
      <c r="S4644" s="23" t="s">
        <v>5949</v>
      </c>
      <c r="W4644" s="45" t="str">
        <f>HYPERLINK("http://ictvonline.org/taxonomy/p/taxonomy-history?taxnode_id=201853465","ICTVonline=201853465")</f>
        <v>ICTVonline=201853465</v>
      </c>
      <c r="AA4644" s="1">
        <v>201850000</v>
      </c>
      <c r="AB4644" s="1">
        <v>34</v>
      </c>
    </row>
    <row r="4645" spans="1:28" x14ac:dyDescent="0.15">
      <c r="A4645" s="1">
        <v>11532</v>
      </c>
      <c r="L4645" s="1" t="s">
        <v>2091</v>
      </c>
      <c r="N4645" s="1" t="s">
        <v>2092</v>
      </c>
      <c r="P4645" s="1" t="s">
        <v>1546</v>
      </c>
      <c r="Q4645" s="3">
        <v>0</v>
      </c>
      <c r="S4645" s="23" t="s">
        <v>5949</v>
      </c>
      <c r="W4645" s="45" t="str">
        <f>HYPERLINK("http://ictvonline.org/taxonomy/p/taxonomy-history?taxnode_id=201853466","ICTVonline=201853466")</f>
        <v>ICTVonline=201853466</v>
      </c>
      <c r="AA4645" s="1">
        <v>201850000</v>
      </c>
      <c r="AB4645" s="1">
        <v>34</v>
      </c>
    </row>
    <row r="4646" spans="1:28" x14ac:dyDescent="0.15">
      <c r="A4646" s="1">
        <v>11534</v>
      </c>
      <c r="L4646" s="1" t="s">
        <v>2091</v>
      </c>
      <c r="N4646" s="1" t="s">
        <v>2092</v>
      </c>
      <c r="P4646" s="1" t="s">
        <v>2461</v>
      </c>
      <c r="Q4646" s="3">
        <v>0</v>
      </c>
      <c r="S4646" s="23" t="s">
        <v>5949</v>
      </c>
      <c r="W4646" s="45" t="str">
        <f>HYPERLINK("http://ictvonline.org/taxonomy/p/taxonomy-history?taxnode_id=201853467","ICTVonline=201853467")</f>
        <v>ICTVonline=201853467</v>
      </c>
      <c r="AA4646" s="1">
        <v>201850000</v>
      </c>
      <c r="AB4646" s="1">
        <v>34</v>
      </c>
    </row>
    <row r="4647" spans="1:28" x14ac:dyDescent="0.15">
      <c r="A4647" s="1">
        <v>11536</v>
      </c>
      <c r="L4647" s="1" t="s">
        <v>2091</v>
      </c>
      <c r="N4647" s="1" t="s">
        <v>2092</v>
      </c>
      <c r="P4647" s="1" t="s">
        <v>1862</v>
      </c>
      <c r="Q4647" s="3">
        <v>0</v>
      </c>
      <c r="S4647" s="23" t="s">
        <v>5949</v>
      </c>
      <c r="W4647" s="45" t="str">
        <f>HYPERLINK("http://ictvonline.org/taxonomy/p/taxonomy-history?taxnode_id=201853468","ICTVonline=201853468")</f>
        <v>ICTVonline=201853468</v>
      </c>
      <c r="AA4647" s="1">
        <v>201850000</v>
      </c>
      <c r="AB4647" s="1">
        <v>34</v>
      </c>
    </row>
    <row r="4648" spans="1:28" x14ac:dyDescent="0.15">
      <c r="A4648" s="1">
        <v>11538</v>
      </c>
      <c r="L4648" s="1" t="s">
        <v>2091</v>
      </c>
      <c r="N4648" s="1" t="s">
        <v>2092</v>
      </c>
      <c r="P4648" s="1" t="s">
        <v>1863</v>
      </c>
      <c r="Q4648" s="3">
        <v>0</v>
      </c>
      <c r="S4648" s="23" t="s">
        <v>5949</v>
      </c>
      <c r="W4648" s="45" t="str">
        <f>HYPERLINK("http://ictvonline.org/taxonomy/p/taxonomy-history?taxnode_id=201853469","ICTVonline=201853469")</f>
        <v>ICTVonline=201853469</v>
      </c>
      <c r="AA4648" s="1">
        <v>201850000</v>
      </c>
      <c r="AB4648" s="1">
        <v>34</v>
      </c>
    </row>
    <row r="4649" spans="1:28" x14ac:dyDescent="0.15">
      <c r="A4649" s="1">
        <v>11540</v>
      </c>
      <c r="L4649" s="1" t="s">
        <v>2091</v>
      </c>
      <c r="N4649" s="1" t="s">
        <v>2092</v>
      </c>
      <c r="P4649" s="1" t="s">
        <v>5424</v>
      </c>
      <c r="Q4649" s="3">
        <v>0</v>
      </c>
      <c r="S4649" s="23" t="s">
        <v>5949</v>
      </c>
      <c r="W4649" s="45" t="str">
        <f>HYPERLINK("http://ictvonline.org/taxonomy/p/taxonomy-history?taxnode_id=201855839","ICTVonline=201855839")</f>
        <v>ICTVonline=201855839</v>
      </c>
      <c r="AA4649" s="1">
        <v>201850000</v>
      </c>
      <c r="AB4649" s="1">
        <v>34</v>
      </c>
    </row>
    <row r="4650" spans="1:28" x14ac:dyDescent="0.15">
      <c r="A4650" s="1">
        <v>11542</v>
      </c>
      <c r="L4650" s="1" t="s">
        <v>2091</v>
      </c>
      <c r="N4650" s="1" t="s">
        <v>2092</v>
      </c>
      <c r="P4650" s="1" t="s">
        <v>1864</v>
      </c>
      <c r="Q4650" s="3">
        <v>0</v>
      </c>
      <c r="S4650" s="23" t="s">
        <v>5949</v>
      </c>
      <c r="W4650" s="45" t="str">
        <f>HYPERLINK("http://ictvonline.org/taxonomy/p/taxonomy-history?taxnode_id=201853470","ICTVonline=201853470")</f>
        <v>ICTVonline=201853470</v>
      </c>
      <c r="AA4650" s="1">
        <v>201850000</v>
      </c>
      <c r="AB4650" s="1">
        <v>34</v>
      </c>
    </row>
    <row r="4651" spans="1:28" x14ac:dyDescent="0.15">
      <c r="A4651" s="1">
        <v>11544</v>
      </c>
      <c r="L4651" s="1" t="s">
        <v>2091</v>
      </c>
      <c r="N4651" s="1" t="s">
        <v>2092</v>
      </c>
      <c r="P4651" s="1" t="s">
        <v>2462</v>
      </c>
      <c r="Q4651" s="3">
        <v>0</v>
      </c>
      <c r="S4651" s="23" t="s">
        <v>5949</v>
      </c>
      <c r="W4651" s="45" t="str">
        <f>HYPERLINK("http://ictvonline.org/taxonomy/p/taxonomy-history?taxnode_id=201853471","ICTVonline=201853471")</f>
        <v>ICTVonline=201853471</v>
      </c>
      <c r="AA4651" s="1">
        <v>201850000</v>
      </c>
      <c r="AB4651" s="1">
        <v>34</v>
      </c>
    </row>
    <row r="4652" spans="1:28" x14ac:dyDescent="0.15">
      <c r="A4652" s="1">
        <v>11546</v>
      </c>
      <c r="L4652" s="1" t="s">
        <v>2091</v>
      </c>
      <c r="N4652" s="1" t="s">
        <v>2092</v>
      </c>
      <c r="P4652" s="1" t="s">
        <v>7071</v>
      </c>
      <c r="Q4652" s="3">
        <v>0</v>
      </c>
      <c r="S4652" s="23" t="s">
        <v>5949</v>
      </c>
      <c r="T4652" s="23" t="s">
        <v>4929</v>
      </c>
      <c r="U4652" s="3">
        <v>34</v>
      </c>
      <c r="V4652" s="3" t="s">
        <v>7049</v>
      </c>
      <c r="W4652" s="45" t="str">
        <f>HYPERLINK("http://ictvonline.org/taxonomy/p/taxonomy-history?taxnode_id=201856715","ICTVonline=201856715")</f>
        <v>ICTVonline=201856715</v>
      </c>
      <c r="AA4652" s="1">
        <v>201850000</v>
      </c>
      <c r="AB4652" s="1">
        <v>34</v>
      </c>
    </row>
    <row r="4653" spans="1:28" x14ac:dyDescent="0.15">
      <c r="A4653" s="1">
        <v>11548</v>
      </c>
      <c r="L4653" s="1" t="s">
        <v>2091</v>
      </c>
      <c r="N4653" s="1" t="s">
        <v>2092</v>
      </c>
      <c r="P4653" s="1" t="s">
        <v>1865</v>
      </c>
      <c r="Q4653" s="3">
        <v>0</v>
      </c>
      <c r="S4653" s="23" t="s">
        <v>5949</v>
      </c>
      <c r="W4653" s="45" t="str">
        <f>HYPERLINK("http://ictvonline.org/taxonomy/p/taxonomy-history?taxnode_id=201853472","ICTVonline=201853472")</f>
        <v>ICTVonline=201853472</v>
      </c>
      <c r="AA4653" s="1">
        <v>201850000</v>
      </c>
      <c r="AB4653" s="1">
        <v>34</v>
      </c>
    </row>
    <row r="4654" spans="1:28" x14ac:dyDescent="0.15">
      <c r="A4654" s="1">
        <v>11550</v>
      </c>
      <c r="L4654" s="1" t="s">
        <v>2091</v>
      </c>
      <c r="N4654" s="1" t="s">
        <v>2092</v>
      </c>
      <c r="P4654" s="1" t="s">
        <v>1866</v>
      </c>
      <c r="Q4654" s="3">
        <v>0</v>
      </c>
      <c r="S4654" s="23" t="s">
        <v>5949</v>
      </c>
      <c r="W4654" s="45" t="str">
        <f>HYPERLINK("http://ictvonline.org/taxonomy/p/taxonomy-history?taxnode_id=201853473","ICTVonline=201853473")</f>
        <v>ICTVonline=201853473</v>
      </c>
      <c r="AA4654" s="1">
        <v>201850000</v>
      </c>
      <c r="AB4654" s="1">
        <v>34</v>
      </c>
    </row>
    <row r="4655" spans="1:28" x14ac:dyDescent="0.15">
      <c r="A4655" s="1">
        <v>11552</v>
      </c>
      <c r="L4655" s="1" t="s">
        <v>2091</v>
      </c>
      <c r="N4655" s="1" t="s">
        <v>2092</v>
      </c>
      <c r="P4655" s="1" t="s">
        <v>7072</v>
      </c>
      <c r="Q4655" s="3">
        <v>0</v>
      </c>
      <c r="S4655" s="23" t="s">
        <v>5949</v>
      </c>
      <c r="T4655" s="23" t="s">
        <v>4929</v>
      </c>
      <c r="U4655" s="3">
        <v>34</v>
      </c>
      <c r="V4655" s="3" t="s">
        <v>7049</v>
      </c>
      <c r="W4655" s="45" t="str">
        <f>HYPERLINK("http://ictvonline.org/taxonomy/p/taxonomy-history?taxnode_id=201856716","ICTVonline=201856716")</f>
        <v>ICTVonline=201856716</v>
      </c>
      <c r="AA4655" s="1">
        <v>201850000</v>
      </c>
      <c r="AB4655" s="1">
        <v>34</v>
      </c>
    </row>
    <row r="4656" spans="1:28" x14ac:dyDescent="0.15">
      <c r="A4656" s="1">
        <v>11554</v>
      </c>
      <c r="L4656" s="1" t="s">
        <v>2091</v>
      </c>
      <c r="N4656" s="1" t="s">
        <v>2092</v>
      </c>
      <c r="P4656" s="1" t="s">
        <v>1867</v>
      </c>
      <c r="Q4656" s="3">
        <v>0</v>
      </c>
      <c r="S4656" s="23" t="s">
        <v>5949</v>
      </c>
      <c r="W4656" s="45" t="str">
        <f>HYPERLINK("http://ictvonline.org/taxonomy/p/taxonomy-history?taxnode_id=201853474","ICTVonline=201853474")</f>
        <v>ICTVonline=201853474</v>
      </c>
      <c r="AA4656" s="1">
        <v>201850000</v>
      </c>
      <c r="AB4656" s="1">
        <v>34</v>
      </c>
    </row>
    <row r="4657" spans="1:28" x14ac:dyDescent="0.15">
      <c r="A4657" s="1">
        <v>11556</v>
      </c>
      <c r="L4657" s="1" t="s">
        <v>2091</v>
      </c>
      <c r="N4657" s="1" t="s">
        <v>2092</v>
      </c>
      <c r="P4657" s="1" t="s">
        <v>1868</v>
      </c>
      <c r="Q4657" s="3">
        <v>0</v>
      </c>
      <c r="S4657" s="23" t="s">
        <v>5949</v>
      </c>
      <c r="W4657" s="45" t="str">
        <f>HYPERLINK("http://ictvonline.org/taxonomy/p/taxonomy-history?taxnode_id=201853475","ICTVonline=201853475")</f>
        <v>ICTVonline=201853475</v>
      </c>
      <c r="AA4657" s="1">
        <v>201850000</v>
      </c>
      <c r="AB4657" s="1">
        <v>34</v>
      </c>
    </row>
    <row r="4658" spans="1:28" x14ac:dyDescent="0.15">
      <c r="A4658" s="1">
        <v>11558</v>
      </c>
      <c r="L4658" s="1" t="s">
        <v>2091</v>
      </c>
      <c r="N4658" s="1" t="s">
        <v>2092</v>
      </c>
      <c r="P4658" s="1" t="s">
        <v>1869</v>
      </c>
      <c r="Q4658" s="3">
        <v>0</v>
      </c>
      <c r="S4658" s="23" t="s">
        <v>5949</v>
      </c>
      <c r="W4658" s="45" t="str">
        <f>HYPERLINK("http://ictvonline.org/taxonomy/p/taxonomy-history?taxnode_id=201853476","ICTVonline=201853476")</f>
        <v>ICTVonline=201853476</v>
      </c>
      <c r="AA4658" s="1">
        <v>201850000</v>
      </c>
      <c r="AB4658" s="1">
        <v>34</v>
      </c>
    </row>
    <row r="4659" spans="1:28" x14ac:dyDescent="0.15">
      <c r="A4659" s="1">
        <v>11560</v>
      </c>
      <c r="L4659" s="1" t="s">
        <v>2091</v>
      </c>
      <c r="N4659" s="1" t="s">
        <v>2092</v>
      </c>
      <c r="P4659" s="1" t="s">
        <v>869</v>
      </c>
      <c r="Q4659" s="3">
        <v>0</v>
      </c>
      <c r="S4659" s="23" t="s">
        <v>5949</v>
      </c>
      <c r="W4659" s="45" t="str">
        <f>HYPERLINK("http://ictvonline.org/taxonomy/p/taxonomy-history?taxnode_id=201853477","ICTVonline=201853477")</f>
        <v>ICTVonline=201853477</v>
      </c>
      <c r="AA4659" s="1">
        <v>201850000</v>
      </c>
      <c r="AB4659" s="1">
        <v>34</v>
      </c>
    </row>
    <row r="4660" spans="1:28" x14ac:dyDescent="0.15">
      <c r="A4660" s="1">
        <v>11562</v>
      </c>
      <c r="L4660" s="1" t="s">
        <v>2091</v>
      </c>
      <c r="N4660" s="1" t="s">
        <v>2092</v>
      </c>
      <c r="P4660" s="1" t="s">
        <v>870</v>
      </c>
      <c r="Q4660" s="3">
        <v>0</v>
      </c>
      <c r="S4660" s="23" t="s">
        <v>5949</v>
      </c>
      <c r="W4660" s="45" t="str">
        <f>HYPERLINK("http://ictvonline.org/taxonomy/p/taxonomy-history?taxnode_id=201853478","ICTVonline=201853478")</f>
        <v>ICTVonline=201853478</v>
      </c>
      <c r="AA4660" s="1">
        <v>201850000</v>
      </c>
      <c r="AB4660" s="1">
        <v>34</v>
      </c>
    </row>
    <row r="4661" spans="1:28" x14ac:dyDescent="0.15">
      <c r="A4661" s="1">
        <v>11564</v>
      </c>
      <c r="L4661" s="1" t="s">
        <v>2091</v>
      </c>
      <c r="N4661" s="1" t="s">
        <v>2092</v>
      </c>
      <c r="P4661" s="1" t="s">
        <v>1870</v>
      </c>
      <c r="Q4661" s="3">
        <v>0</v>
      </c>
      <c r="S4661" s="23" t="s">
        <v>5949</v>
      </c>
      <c r="W4661" s="45" t="str">
        <f>HYPERLINK("http://ictvonline.org/taxonomy/p/taxonomy-history?taxnode_id=201853479","ICTVonline=201853479")</f>
        <v>ICTVonline=201853479</v>
      </c>
      <c r="AA4661" s="1">
        <v>201850000</v>
      </c>
      <c r="AB4661" s="1">
        <v>34</v>
      </c>
    </row>
    <row r="4662" spans="1:28" x14ac:dyDescent="0.15">
      <c r="A4662" s="1">
        <v>11566</v>
      </c>
      <c r="L4662" s="1" t="s">
        <v>2091</v>
      </c>
      <c r="N4662" s="1" t="s">
        <v>2092</v>
      </c>
      <c r="P4662" s="1" t="s">
        <v>1938</v>
      </c>
      <c r="Q4662" s="3">
        <v>0</v>
      </c>
      <c r="S4662" s="23" t="s">
        <v>5949</v>
      </c>
      <c r="W4662" s="45" t="str">
        <f>HYPERLINK("http://ictvonline.org/taxonomy/p/taxonomy-history?taxnode_id=201853480","ICTVonline=201853480")</f>
        <v>ICTVonline=201853480</v>
      </c>
      <c r="AA4662" s="1">
        <v>201850000</v>
      </c>
      <c r="AB4662" s="1">
        <v>34</v>
      </c>
    </row>
    <row r="4663" spans="1:28" x14ac:dyDescent="0.15">
      <c r="A4663" s="1">
        <v>11568</v>
      </c>
      <c r="L4663" s="1" t="s">
        <v>2091</v>
      </c>
      <c r="N4663" s="1" t="s">
        <v>2092</v>
      </c>
      <c r="P4663" s="1" t="s">
        <v>813</v>
      </c>
      <c r="Q4663" s="3">
        <v>0</v>
      </c>
      <c r="S4663" s="23" t="s">
        <v>5949</v>
      </c>
      <c r="W4663" s="45" t="str">
        <f>HYPERLINK("http://ictvonline.org/taxonomy/p/taxonomy-history?taxnode_id=201853481","ICTVonline=201853481")</f>
        <v>ICTVonline=201853481</v>
      </c>
      <c r="AA4663" s="1">
        <v>201850000</v>
      </c>
      <c r="AB4663" s="1">
        <v>34</v>
      </c>
    </row>
    <row r="4664" spans="1:28" x14ac:dyDescent="0.15">
      <c r="A4664" s="1">
        <v>11570</v>
      </c>
      <c r="L4664" s="1" t="s">
        <v>2091</v>
      </c>
      <c r="N4664" s="1" t="s">
        <v>2092</v>
      </c>
      <c r="P4664" s="1" t="s">
        <v>5425</v>
      </c>
      <c r="Q4664" s="3">
        <v>0</v>
      </c>
      <c r="S4664" s="23" t="s">
        <v>5949</v>
      </c>
      <c r="W4664" s="45" t="str">
        <f>HYPERLINK("http://ictvonline.org/taxonomy/p/taxonomy-history?taxnode_id=201855840","ICTVonline=201855840")</f>
        <v>ICTVonline=201855840</v>
      </c>
      <c r="AA4664" s="1">
        <v>201850000</v>
      </c>
      <c r="AB4664" s="1">
        <v>34</v>
      </c>
    </row>
    <row r="4665" spans="1:28" x14ac:dyDescent="0.15">
      <c r="A4665" s="1">
        <v>11572</v>
      </c>
      <c r="L4665" s="1" t="s">
        <v>2091</v>
      </c>
      <c r="N4665" s="1" t="s">
        <v>2092</v>
      </c>
      <c r="P4665" s="1" t="s">
        <v>814</v>
      </c>
      <c r="Q4665" s="3">
        <v>0</v>
      </c>
      <c r="S4665" s="23" t="s">
        <v>5949</v>
      </c>
      <c r="W4665" s="45" t="str">
        <f>HYPERLINK("http://ictvonline.org/taxonomy/p/taxonomy-history?taxnode_id=201853482","ICTVonline=201853482")</f>
        <v>ICTVonline=201853482</v>
      </c>
      <c r="AA4665" s="1">
        <v>201850000</v>
      </c>
      <c r="AB4665" s="1">
        <v>34</v>
      </c>
    </row>
    <row r="4666" spans="1:28" x14ac:dyDescent="0.15">
      <c r="A4666" s="1">
        <v>11574</v>
      </c>
      <c r="L4666" s="1" t="s">
        <v>2091</v>
      </c>
      <c r="N4666" s="1" t="s">
        <v>2092</v>
      </c>
      <c r="P4666" s="1" t="s">
        <v>815</v>
      </c>
      <c r="Q4666" s="3">
        <v>0</v>
      </c>
      <c r="S4666" s="23" t="s">
        <v>5949</v>
      </c>
      <c r="W4666" s="45" t="str">
        <f>HYPERLINK("http://ictvonline.org/taxonomy/p/taxonomy-history?taxnode_id=201853483","ICTVonline=201853483")</f>
        <v>ICTVonline=201853483</v>
      </c>
      <c r="AA4666" s="1">
        <v>201850000</v>
      </c>
      <c r="AB4666" s="1">
        <v>34</v>
      </c>
    </row>
    <row r="4667" spans="1:28" x14ac:dyDescent="0.15">
      <c r="A4667" s="1">
        <v>11576</v>
      </c>
      <c r="L4667" s="1" t="s">
        <v>2091</v>
      </c>
      <c r="N4667" s="1" t="s">
        <v>2092</v>
      </c>
      <c r="P4667" s="1" t="s">
        <v>1832</v>
      </c>
      <c r="Q4667" s="3">
        <v>0</v>
      </c>
      <c r="S4667" s="23" t="s">
        <v>5949</v>
      </c>
      <c r="W4667" s="45" t="str">
        <f>HYPERLINK("http://ictvonline.org/taxonomy/p/taxonomy-history?taxnode_id=201853484","ICTVonline=201853484")</f>
        <v>ICTVonline=201853484</v>
      </c>
      <c r="AA4667" s="1">
        <v>201850000</v>
      </c>
      <c r="AB4667" s="1">
        <v>34</v>
      </c>
    </row>
    <row r="4668" spans="1:28" x14ac:dyDescent="0.15">
      <c r="A4668" s="1">
        <v>11578</v>
      </c>
      <c r="L4668" s="1" t="s">
        <v>2091</v>
      </c>
      <c r="N4668" s="1" t="s">
        <v>2092</v>
      </c>
      <c r="P4668" s="1" t="s">
        <v>5426</v>
      </c>
      <c r="Q4668" s="3">
        <v>0</v>
      </c>
      <c r="S4668" s="23" t="s">
        <v>5949</v>
      </c>
      <c r="W4668" s="45" t="str">
        <f>HYPERLINK("http://ictvonline.org/taxonomy/p/taxonomy-history?taxnode_id=201855841","ICTVonline=201855841")</f>
        <v>ICTVonline=201855841</v>
      </c>
      <c r="AA4668" s="1">
        <v>201850000</v>
      </c>
      <c r="AB4668" s="1">
        <v>34</v>
      </c>
    </row>
    <row r="4669" spans="1:28" x14ac:dyDescent="0.15">
      <c r="A4669" s="1">
        <v>11580</v>
      </c>
      <c r="L4669" s="1" t="s">
        <v>2091</v>
      </c>
      <c r="N4669" s="1" t="s">
        <v>2092</v>
      </c>
      <c r="P4669" s="1" t="s">
        <v>2463</v>
      </c>
      <c r="Q4669" s="3">
        <v>0</v>
      </c>
      <c r="S4669" s="23" t="s">
        <v>5949</v>
      </c>
      <c r="W4669" s="45" t="str">
        <f>HYPERLINK("http://ictvonline.org/taxonomy/p/taxonomy-history?taxnode_id=201853485","ICTVonline=201853485")</f>
        <v>ICTVonline=201853485</v>
      </c>
      <c r="AA4669" s="1">
        <v>201850000</v>
      </c>
      <c r="AB4669" s="1">
        <v>34</v>
      </c>
    </row>
    <row r="4670" spans="1:28" x14ac:dyDescent="0.15">
      <c r="A4670" s="1">
        <v>11582</v>
      </c>
      <c r="L4670" s="1" t="s">
        <v>2091</v>
      </c>
      <c r="N4670" s="1" t="s">
        <v>2092</v>
      </c>
      <c r="P4670" s="1" t="s">
        <v>1046</v>
      </c>
      <c r="Q4670" s="3">
        <v>0</v>
      </c>
      <c r="S4670" s="23" t="s">
        <v>5949</v>
      </c>
      <c r="W4670" s="45" t="str">
        <f>HYPERLINK("http://ictvonline.org/taxonomy/p/taxonomy-history?taxnode_id=201853486","ICTVonline=201853486")</f>
        <v>ICTVonline=201853486</v>
      </c>
      <c r="AA4670" s="1">
        <v>201850000</v>
      </c>
      <c r="AB4670" s="1">
        <v>34</v>
      </c>
    </row>
    <row r="4671" spans="1:28" x14ac:dyDescent="0.15">
      <c r="A4671" s="1">
        <v>11584</v>
      </c>
      <c r="L4671" s="1" t="s">
        <v>2091</v>
      </c>
      <c r="N4671" s="1" t="s">
        <v>2092</v>
      </c>
      <c r="P4671" s="1" t="s">
        <v>2464</v>
      </c>
      <c r="Q4671" s="3">
        <v>0</v>
      </c>
      <c r="S4671" s="23" t="s">
        <v>5949</v>
      </c>
      <c r="W4671" s="45" t="str">
        <f>HYPERLINK("http://ictvonline.org/taxonomy/p/taxonomy-history?taxnode_id=201853487","ICTVonline=201853487")</f>
        <v>ICTVonline=201853487</v>
      </c>
      <c r="AA4671" s="1">
        <v>201850000</v>
      </c>
      <c r="AB4671" s="1">
        <v>34</v>
      </c>
    </row>
    <row r="4672" spans="1:28" x14ac:dyDescent="0.15">
      <c r="A4672" s="1">
        <v>11586</v>
      </c>
      <c r="L4672" s="1" t="s">
        <v>2091</v>
      </c>
      <c r="N4672" s="1" t="s">
        <v>2092</v>
      </c>
      <c r="P4672" s="1" t="s">
        <v>1047</v>
      </c>
      <c r="Q4672" s="3">
        <v>0</v>
      </c>
      <c r="S4672" s="23" t="s">
        <v>5949</v>
      </c>
      <c r="W4672" s="45" t="str">
        <f>HYPERLINK("http://ictvonline.org/taxonomy/p/taxonomy-history?taxnode_id=201853488","ICTVonline=201853488")</f>
        <v>ICTVonline=201853488</v>
      </c>
      <c r="AA4672" s="1">
        <v>201850000</v>
      </c>
      <c r="AB4672" s="1">
        <v>34</v>
      </c>
    </row>
    <row r="4673" spans="1:28" x14ac:dyDescent="0.15">
      <c r="A4673" s="1">
        <v>11588</v>
      </c>
      <c r="L4673" s="1" t="s">
        <v>2091</v>
      </c>
      <c r="N4673" s="1" t="s">
        <v>2092</v>
      </c>
      <c r="P4673" s="1" t="s">
        <v>1048</v>
      </c>
      <c r="Q4673" s="3">
        <v>0</v>
      </c>
      <c r="S4673" s="23" t="s">
        <v>5949</v>
      </c>
      <c r="W4673" s="45" t="str">
        <f>HYPERLINK("http://ictvonline.org/taxonomy/p/taxonomy-history?taxnode_id=201853489","ICTVonline=201853489")</f>
        <v>ICTVonline=201853489</v>
      </c>
      <c r="AA4673" s="1">
        <v>201850000</v>
      </c>
      <c r="AB4673" s="1">
        <v>34</v>
      </c>
    </row>
    <row r="4674" spans="1:28" x14ac:dyDescent="0.15">
      <c r="A4674" s="1">
        <v>11590</v>
      </c>
      <c r="L4674" s="1" t="s">
        <v>2091</v>
      </c>
      <c r="N4674" s="1" t="s">
        <v>2092</v>
      </c>
      <c r="P4674" s="1" t="s">
        <v>5427</v>
      </c>
      <c r="Q4674" s="3">
        <v>0</v>
      </c>
      <c r="S4674" s="23" t="s">
        <v>5949</v>
      </c>
      <c r="W4674" s="45" t="str">
        <f>HYPERLINK("http://ictvonline.org/taxonomy/p/taxonomy-history?taxnode_id=201855842","ICTVonline=201855842")</f>
        <v>ICTVonline=201855842</v>
      </c>
      <c r="AA4674" s="1">
        <v>201850000</v>
      </c>
      <c r="AB4674" s="1">
        <v>34</v>
      </c>
    </row>
    <row r="4675" spans="1:28" x14ac:dyDescent="0.15">
      <c r="A4675" s="1">
        <v>11592</v>
      </c>
      <c r="L4675" s="1" t="s">
        <v>2091</v>
      </c>
      <c r="N4675" s="1" t="s">
        <v>2092</v>
      </c>
      <c r="P4675" s="1" t="s">
        <v>5428</v>
      </c>
      <c r="Q4675" s="3">
        <v>0</v>
      </c>
      <c r="S4675" s="23" t="s">
        <v>5949</v>
      </c>
      <c r="W4675" s="45" t="str">
        <f>HYPERLINK("http://ictvonline.org/taxonomy/p/taxonomy-history?taxnode_id=201855843","ICTVonline=201855843")</f>
        <v>ICTVonline=201855843</v>
      </c>
      <c r="AA4675" s="1">
        <v>201850000</v>
      </c>
      <c r="AB4675" s="1">
        <v>34</v>
      </c>
    </row>
    <row r="4676" spans="1:28" x14ac:dyDescent="0.15">
      <c r="A4676" s="1">
        <v>11594</v>
      </c>
      <c r="L4676" s="1" t="s">
        <v>2091</v>
      </c>
      <c r="N4676" s="1" t="s">
        <v>2092</v>
      </c>
      <c r="P4676" s="1" t="s">
        <v>3823</v>
      </c>
      <c r="Q4676" s="3">
        <v>0</v>
      </c>
      <c r="S4676" s="23" t="s">
        <v>5949</v>
      </c>
      <c r="W4676" s="45" t="str">
        <f>HYPERLINK("http://ictvonline.org/taxonomy/p/taxonomy-history?taxnode_id=201853490","ICTVonline=201853490")</f>
        <v>ICTVonline=201853490</v>
      </c>
      <c r="AA4676" s="1">
        <v>201850000</v>
      </c>
      <c r="AB4676" s="1">
        <v>34</v>
      </c>
    </row>
    <row r="4677" spans="1:28" x14ac:dyDescent="0.15">
      <c r="A4677" s="1">
        <v>11596</v>
      </c>
      <c r="L4677" s="1" t="s">
        <v>2091</v>
      </c>
      <c r="N4677" s="1" t="s">
        <v>2092</v>
      </c>
      <c r="P4677" s="1" t="s">
        <v>5429</v>
      </c>
      <c r="Q4677" s="3">
        <v>0</v>
      </c>
      <c r="S4677" s="23" t="s">
        <v>5949</v>
      </c>
      <c r="W4677" s="45" t="str">
        <f>HYPERLINK("http://ictvonline.org/taxonomy/p/taxonomy-history?taxnode_id=201855844","ICTVonline=201855844")</f>
        <v>ICTVonline=201855844</v>
      </c>
      <c r="AA4677" s="1">
        <v>201850000</v>
      </c>
      <c r="AB4677" s="1">
        <v>34</v>
      </c>
    </row>
    <row r="4678" spans="1:28" x14ac:dyDescent="0.15">
      <c r="A4678" s="1">
        <v>11598</v>
      </c>
      <c r="L4678" s="1" t="s">
        <v>2091</v>
      </c>
      <c r="N4678" s="1" t="s">
        <v>2092</v>
      </c>
      <c r="P4678" s="1" t="s">
        <v>7073</v>
      </c>
      <c r="Q4678" s="3">
        <v>0</v>
      </c>
      <c r="S4678" s="23" t="s">
        <v>5949</v>
      </c>
      <c r="T4678" s="23" t="s">
        <v>4929</v>
      </c>
      <c r="U4678" s="3">
        <v>34</v>
      </c>
      <c r="V4678" s="3" t="s">
        <v>7049</v>
      </c>
      <c r="W4678" s="45" t="str">
        <f>HYPERLINK("http://ictvonline.org/taxonomy/p/taxonomy-history?taxnode_id=201856717","ICTVonline=201856717")</f>
        <v>ICTVonline=201856717</v>
      </c>
      <c r="AA4678" s="1">
        <v>201850000</v>
      </c>
      <c r="AB4678" s="1">
        <v>34</v>
      </c>
    </row>
    <row r="4679" spans="1:28" x14ac:dyDescent="0.15">
      <c r="A4679" s="1">
        <v>11600</v>
      </c>
      <c r="L4679" s="1" t="s">
        <v>2091</v>
      </c>
      <c r="N4679" s="1" t="s">
        <v>2092</v>
      </c>
      <c r="P4679" s="1" t="s">
        <v>1129</v>
      </c>
      <c r="Q4679" s="3">
        <v>0</v>
      </c>
      <c r="S4679" s="23" t="s">
        <v>5949</v>
      </c>
      <c r="W4679" s="45" t="str">
        <f>HYPERLINK("http://ictvonline.org/taxonomy/p/taxonomy-history?taxnode_id=201853491","ICTVonline=201853491")</f>
        <v>ICTVonline=201853491</v>
      </c>
      <c r="AA4679" s="1">
        <v>201850000</v>
      </c>
      <c r="AB4679" s="1">
        <v>34</v>
      </c>
    </row>
    <row r="4680" spans="1:28" x14ac:dyDescent="0.15">
      <c r="A4680" s="1">
        <v>11602</v>
      </c>
      <c r="L4680" s="1" t="s">
        <v>2091</v>
      </c>
      <c r="N4680" s="1" t="s">
        <v>2092</v>
      </c>
      <c r="P4680" s="1" t="s">
        <v>3824</v>
      </c>
      <c r="Q4680" s="3">
        <v>0</v>
      </c>
      <c r="S4680" s="23" t="s">
        <v>5949</v>
      </c>
      <c r="W4680" s="45" t="str">
        <f>HYPERLINK("http://ictvonline.org/taxonomy/p/taxonomy-history?taxnode_id=201853492","ICTVonline=201853492")</f>
        <v>ICTVonline=201853492</v>
      </c>
      <c r="AA4680" s="1">
        <v>201850000</v>
      </c>
      <c r="AB4680" s="1">
        <v>34</v>
      </c>
    </row>
    <row r="4681" spans="1:28" x14ac:dyDescent="0.15">
      <c r="A4681" s="1">
        <v>11604</v>
      </c>
      <c r="L4681" s="1" t="s">
        <v>2091</v>
      </c>
      <c r="N4681" s="1" t="s">
        <v>2092</v>
      </c>
      <c r="P4681" s="1" t="s">
        <v>5430</v>
      </c>
      <c r="Q4681" s="3">
        <v>0</v>
      </c>
      <c r="S4681" s="23" t="s">
        <v>5949</v>
      </c>
      <c r="W4681" s="45" t="str">
        <f>HYPERLINK("http://ictvonline.org/taxonomy/p/taxonomy-history?taxnode_id=201855845","ICTVonline=201855845")</f>
        <v>ICTVonline=201855845</v>
      </c>
      <c r="AA4681" s="1">
        <v>201850000</v>
      </c>
      <c r="AB4681" s="1">
        <v>34</v>
      </c>
    </row>
    <row r="4682" spans="1:28" x14ac:dyDescent="0.15">
      <c r="A4682" s="1">
        <v>11606</v>
      </c>
      <c r="L4682" s="1" t="s">
        <v>2091</v>
      </c>
      <c r="N4682" s="1" t="s">
        <v>2092</v>
      </c>
      <c r="P4682" s="1" t="s">
        <v>1130</v>
      </c>
      <c r="Q4682" s="3">
        <v>0</v>
      </c>
      <c r="S4682" s="23" t="s">
        <v>5949</v>
      </c>
      <c r="W4682" s="45" t="str">
        <f>HYPERLINK("http://ictvonline.org/taxonomy/p/taxonomy-history?taxnode_id=201853493","ICTVonline=201853493")</f>
        <v>ICTVonline=201853493</v>
      </c>
      <c r="AA4682" s="1">
        <v>201850000</v>
      </c>
      <c r="AB4682" s="1">
        <v>34</v>
      </c>
    </row>
    <row r="4683" spans="1:28" x14ac:dyDescent="0.15">
      <c r="A4683" s="1">
        <v>11608</v>
      </c>
      <c r="L4683" s="1" t="s">
        <v>2091</v>
      </c>
      <c r="N4683" s="1" t="s">
        <v>2092</v>
      </c>
      <c r="P4683" s="1" t="s">
        <v>2465</v>
      </c>
      <c r="Q4683" s="3">
        <v>0</v>
      </c>
      <c r="S4683" s="23" t="s">
        <v>5949</v>
      </c>
      <c r="W4683" s="45" t="str">
        <f>HYPERLINK("http://ictvonline.org/taxonomy/p/taxonomy-history?taxnode_id=201853494","ICTVonline=201853494")</f>
        <v>ICTVonline=201853494</v>
      </c>
      <c r="AA4683" s="1">
        <v>201850000</v>
      </c>
      <c r="AB4683" s="1">
        <v>34</v>
      </c>
    </row>
    <row r="4684" spans="1:28" x14ac:dyDescent="0.15">
      <c r="A4684" s="1">
        <v>11610</v>
      </c>
      <c r="L4684" s="1" t="s">
        <v>2091</v>
      </c>
      <c r="N4684" s="1" t="s">
        <v>2092</v>
      </c>
      <c r="P4684" s="1" t="s">
        <v>2466</v>
      </c>
      <c r="Q4684" s="3">
        <v>0</v>
      </c>
      <c r="S4684" s="23" t="s">
        <v>5949</v>
      </c>
      <c r="W4684" s="45" t="str">
        <f>HYPERLINK("http://ictvonline.org/taxonomy/p/taxonomy-history?taxnode_id=201853495","ICTVonline=201853495")</f>
        <v>ICTVonline=201853495</v>
      </c>
      <c r="AA4684" s="1">
        <v>201850000</v>
      </c>
      <c r="AB4684" s="1">
        <v>34</v>
      </c>
    </row>
    <row r="4685" spans="1:28" x14ac:dyDescent="0.15">
      <c r="A4685" s="1">
        <v>11612</v>
      </c>
      <c r="L4685" s="1" t="s">
        <v>2091</v>
      </c>
      <c r="N4685" s="1" t="s">
        <v>2092</v>
      </c>
      <c r="P4685" s="1" t="s">
        <v>7074</v>
      </c>
      <c r="Q4685" s="3">
        <v>0</v>
      </c>
      <c r="S4685" s="23" t="s">
        <v>5949</v>
      </c>
      <c r="T4685" s="23" t="s">
        <v>4929</v>
      </c>
      <c r="U4685" s="3">
        <v>34</v>
      </c>
      <c r="V4685" s="3" t="s">
        <v>7049</v>
      </c>
      <c r="W4685" s="45" t="str">
        <f>HYPERLINK("http://ictvonline.org/taxonomy/p/taxonomy-history?taxnode_id=201856718","ICTVonline=201856718")</f>
        <v>ICTVonline=201856718</v>
      </c>
      <c r="AA4685" s="1">
        <v>201850000</v>
      </c>
      <c r="AB4685" s="1">
        <v>34</v>
      </c>
    </row>
    <row r="4686" spans="1:28" x14ac:dyDescent="0.15">
      <c r="A4686" s="1">
        <v>11614</v>
      </c>
      <c r="L4686" s="1" t="s">
        <v>2091</v>
      </c>
      <c r="N4686" s="1" t="s">
        <v>2092</v>
      </c>
      <c r="P4686" s="1" t="s">
        <v>5431</v>
      </c>
      <c r="Q4686" s="3">
        <v>0</v>
      </c>
      <c r="S4686" s="23" t="s">
        <v>5949</v>
      </c>
      <c r="W4686" s="45" t="str">
        <f>HYPERLINK("http://ictvonline.org/taxonomy/p/taxonomy-history?taxnode_id=201855846","ICTVonline=201855846")</f>
        <v>ICTVonline=201855846</v>
      </c>
      <c r="AA4686" s="1">
        <v>201850000</v>
      </c>
      <c r="AB4686" s="1">
        <v>34</v>
      </c>
    </row>
    <row r="4687" spans="1:28" x14ac:dyDescent="0.15">
      <c r="A4687" s="1">
        <v>11616</v>
      </c>
      <c r="L4687" s="1" t="s">
        <v>2091</v>
      </c>
      <c r="N4687" s="1" t="s">
        <v>2092</v>
      </c>
      <c r="P4687" s="1" t="s">
        <v>5432</v>
      </c>
      <c r="Q4687" s="3">
        <v>0</v>
      </c>
      <c r="S4687" s="23" t="s">
        <v>5949</v>
      </c>
      <c r="W4687" s="45" t="str">
        <f>HYPERLINK("http://ictvonline.org/taxonomy/p/taxonomy-history?taxnode_id=201855847","ICTVonline=201855847")</f>
        <v>ICTVonline=201855847</v>
      </c>
      <c r="AA4687" s="1">
        <v>201850000</v>
      </c>
      <c r="AB4687" s="1">
        <v>34</v>
      </c>
    </row>
    <row r="4688" spans="1:28" x14ac:dyDescent="0.15">
      <c r="A4688" s="1">
        <v>11618</v>
      </c>
      <c r="L4688" s="1" t="s">
        <v>2091</v>
      </c>
      <c r="N4688" s="1" t="s">
        <v>2092</v>
      </c>
      <c r="P4688" s="1" t="s">
        <v>5433</v>
      </c>
      <c r="Q4688" s="3">
        <v>0</v>
      </c>
      <c r="S4688" s="23" t="s">
        <v>5949</v>
      </c>
      <c r="W4688" s="45" t="str">
        <f>HYPERLINK("http://ictvonline.org/taxonomy/p/taxonomy-history?taxnode_id=201855848","ICTVonline=201855848")</f>
        <v>ICTVonline=201855848</v>
      </c>
      <c r="AA4688" s="1">
        <v>201850000</v>
      </c>
      <c r="AB4688" s="1">
        <v>34</v>
      </c>
    </row>
    <row r="4689" spans="1:28" x14ac:dyDescent="0.15">
      <c r="A4689" s="1">
        <v>11620</v>
      </c>
      <c r="L4689" s="1" t="s">
        <v>2091</v>
      </c>
      <c r="N4689" s="1" t="s">
        <v>2092</v>
      </c>
      <c r="P4689" s="1" t="s">
        <v>5434</v>
      </c>
      <c r="Q4689" s="3">
        <v>0</v>
      </c>
      <c r="S4689" s="23" t="s">
        <v>5949</v>
      </c>
      <c r="W4689" s="45" t="str">
        <f>HYPERLINK("http://ictvonline.org/taxonomy/p/taxonomy-history?taxnode_id=201855849","ICTVonline=201855849")</f>
        <v>ICTVonline=201855849</v>
      </c>
      <c r="AA4689" s="1">
        <v>201850000</v>
      </c>
      <c r="AB4689" s="1">
        <v>34</v>
      </c>
    </row>
    <row r="4690" spans="1:28" x14ac:dyDescent="0.15">
      <c r="A4690" s="1">
        <v>11622</v>
      </c>
      <c r="L4690" s="1" t="s">
        <v>2091</v>
      </c>
      <c r="N4690" s="1" t="s">
        <v>2092</v>
      </c>
      <c r="P4690" s="1" t="s">
        <v>5435</v>
      </c>
      <c r="Q4690" s="3">
        <v>0</v>
      </c>
      <c r="S4690" s="23" t="s">
        <v>5949</v>
      </c>
      <c r="W4690" s="45" t="str">
        <f>HYPERLINK("http://ictvonline.org/taxonomy/p/taxonomy-history?taxnode_id=201855850","ICTVonline=201855850")</f>
        <v>ICTVonline=201855850</v>
      </c>
      <c r="AA4690" s="1">
        <v>201850000</v>
      </c>
      <c r="AB4690" s="1">
        <v>34</v>
      </c>
    </row>
    <row r="4691" spans="1:28" x14ac:dyDescent="0.15">
      <c r="A4691" s="1">
        <v>11624</v>
      </c>
      <c r="L4691" s="1" t="s">
        <v>2091</v>
      </c>
      <c r="N4691" s="1" t="s">
        <v>2092</v>
      </c>
      <c r="P4691" s="1" t="s">
        <v>5436</v>
      </c>
      <c r="Q4691" s="3">
        <v>0</v>
      </c>
      <c r="S4691" s="23" t="s">
        <v>5949</v>
      </c>
      <c r="W4691" s="45" t="str">
        <f>HYPERLINK("http://ictvonline.org/taxonomy/p/taxonomy-history?taxnode_id=201855851","ICTVonline=201855851")</f>
        <v>ICTVonline=201855851</v>
      </c>
      <c r="AA4691" s="1">
        <v>201850000</v>
      </c>
      <c r="AB4691" s="1">
        <v>34</v>
      </c>
    </row>
    <row r="4692" spans="1:28" x14ac:dyDescent="0.15">
      <c r="A4692" s="1">
        <v>11626</v>
      </c>
      <c r="L4692" s="1" t="s">
        <v>2091</v>
      </c>
      <c r="N4692" s="1" t="s">
        <v>2092</v>
      </c>
      <c r="P4692" s="1" t="s">
        <v>2467</v>
      </c>
      <c r="Q4692" s="3">
        <v>0</v>
      </c>
      <c r="S4692" s="23" t="s">
        <v>5949</v>
      </c>
      <c r="W4692" s="45" t="str">
        <f>HYPERLINK("http://ictvonline.org/taxonomy/p/taxonomy-history?taxnode_id=201853496","ICTVonline=201853496")</f>
        <v>ICTVonline=201853496</v>
      </c>
      <c r="AA4692" s="1">
        <v>201850000</v>
      </c>
      <c r="AB4692" s="1">
        <v>34</v>
      </c>
    </row>
    <row r="4693" spans="1:28" x14ac:dyDescent="0.15">
      <c r="A4693" s="1">
        <v>11628</v>
      </c>
      <c r="L4693" s="1" t="s">
        <v>2091</v>
      </c>
      <c r="N4693" s="1" t="s">
        <v>2092</v>
      </c>
      <c r="P4693" s="1" t="s">
        <v>5437</v>
      </c>
      <c r="Q4693" s="3">
        <v>0</v>
      </c>
      <c r="S4693" s="23" t="s">
        <v>5949</v>
      </c>
      <c r="W4693" s="45" t="str">
        <f>HYPERLINK("http://ictvonline.org/taxonomy/p/taxonomy-history?taxnode_id=201855852","ICTVonline=201855852")</f>
        <v>ICTVonline=201855852</v>
      </c>
      <c r="AA4693" s="1">
        <v>201850000</v>
      </c>
      <c r="AB4693" s="1">
        <v>34</v>
      </c>
    </row>
    <row r="4694" spans="1:28" x14ac:dyDescent="0.15">
      <c r="A4694" s="1">
        <v>11632</v>
      </c>
      <c r="L4694" s="1" t="s">
        <v>2091</v>
      </c>
      <c r="N4694" s="1" t="s">
        <v>4703</v>
      </c>
      <c r="P4694" s="1" t="s">
        <v>4704</v>
      </c>
      <c r="Q4694" s="3">
        <v>0</v>
      </c>
      <c r="S4694" s="23" t="s">
        <v>5949</v>
      </c>
      <c r="W4694" s="45" t="str">
        <f>HYPERLINK("http://ictvonline.org/taxonomy/p/taxonomy-history?taxnode_id=201853498","ICTVonline=201853498")</f>
        <v>ICTVonline=201853498</v>
      </c>
      <c r="AA4694" s="1">
        <v>201850000</v>
      </c>
      <c r="AB4694" s="1">
        <v>34</v>
      </c>
    </row>
    <row r="4695" spans="1:28" x14ac:dyDescent="0.15">
      <c r="A4695" s="1">
        <v>11634</v>
      </c>
      <c r="L4695" s="1" t="s">
        <v>2091</v>
      </c>
      <c r="N4695" s="1" t="s">
        <v>4703</v>
      </c>
      <c r="P4695" s="1" t="s">
        <v>4705</v>
      </c>
      <c r="Q4695" s="3">
        <v>1</v>
      </c>
      <c r="S4695" s="23" t="s">
        <v>5949</v>
      </c>
      <c r="W4695" s="45" t="str">
        <f>HYPERLINK("http://ictvonline.org/taxonomy/p/taxonomy-history?taxnode_id=201853499","ICTVonline=201853499")</f>
        <v>ICTVonline=201853499</v>
      </c>
      <c r="AA4695" s="1">
        <v>201850000</v>
      </c>
      <c r="AB4695" s="1">
        <v>34</v>
      </c>
    </row>
    <row r="4696" spans="1:28" x14ac:dyDescent="0.15">
      <c r="A4696" s="1">
        <v>11636</v>
      </c>
      <c r="L4696" s="1" t="s">
        <v>2091</v>
      </c>
      <c r="N4696" s="1" t="s">
        <v>4703</v>
      </c>
      <c r="P4696" s="1" t="s">
        <v>4706</v>
      </c>
      <c r="Q4696" s="3">
        <v>0</v>
      </c>
      <c r="S4696" s="23" t="s">
        <v>5949</v>
      </c>
      <c r="W4696" s="45" t="str">
        <f>HYPERLINK("http://ictvonline.org/taxonomy/p/taxonomy-history?taxnode_id=201853500","ICTVonline=201853500")</f>
        <v>ICTVonline=201853500</v>
      </c>
      <c r="AA4696" s="1">
        <v>201850000</v>
      </c>
      <c r="AB4696" s="1">
        <v>34</v>
      </c>
    </row>
    <row r="4697" spans="1:28" x14ac:dyDescent="0.15">
      <c r="A4697" s="1">
        <v>11638</v>
      </c>
      <c r="L4697" s="1" t="s">
        <v>2091</v>
      </c>
      <c r="N4697" s="1" t="s">
        <v>4703</v>
      </c>
      <c r="P4697" s="1" t="s">
        <v>4707</v>
      </c>
      <c r="Q4697" s="3">
        <v>0</v>
      </c>
      <c r="S4697" s="23" t="s">
        <v>5949</v>
      </c>
      <c r="W4697" s="45" t="str">
        <f>HYPERLINK("http://ictvonline.org/taxonomy/p/taxonomy-history?taxnode_id=201853501","ICTVonline=201853501")</f>
        <v>ICTVonline=201853501</v>
      </c>
      <c r="AA4697" s="1">
        <v>201850000</v>
      </c>
      <c r="AB4697" s="1">
        <v>34</v>
      </c>
    </row>
    <row r="4698" spans="1:28" x14ac:dyDescent="0.15">
      <c r="A4698" s="1">
        <v>11642</v>
      </c>
      <c r="L4698" s="1" t="s">
        <v>2091</v>
      </c>
      <c r="N4698" s="1" t="s">
        <v>1131</v>
      </c>
      <c r="P4698" s="1" t="s">
        <v>1132</v>
      </c>
      <c r="Q4698" s="3">
        <v>1</v>
      </c>
      <c r="S4698" s="23" t="s">
        <v>5949</v>
      </c>
      <c r="W4698" s="45" t="str">
        <f>HYPERLINK("http://ictvonline.org/taxonomy/p/taxonomy-history?taxnode_id=201853503","ICTVonline=201853503")</f>
        <v>ICTVonline=201853503</v>
      </c>
      <c r="AA4698" s="1">
        <v>201850000</v>
      </c>
      <c r="AB4698" s="1">
        <v>34</v>
      </c>
    </row>
    <row r="4699" spans="1:28" x14ac:dyDescent="0.15">
      <c r="A4699" s="1">
        <v>11644</v>
      </c>
      <c r="L4699" s="1" t="s">
        <v>2091</v>
      </c>
      <c r="N4699" s="1" t="s">
        <v>1131</v>
      </c>
      <c r="P4699" s="1" t="s">
        <v>675</v>
      </c>
      <c r="Q4699" s="3">
        <v>0</v>
      </c>
      <c r="S4699" s="23" t="s">
        <v>5949</v>
      </c>
      <c r="W4699" s="45" t="str">
        <f>HYPERLINK("http://ictvonline.org/taxonomy/p/taxonomy-history?taxnode_id=201853504","ICTVonline=201853504")</f>
        <v>ICTVonline=201853504</v>
      </c>
      <c r="AA4699" s="1">
        <v>201850000</v>
      </c>
      <c r="AB4699" s="1">
        <v>34</v>
      </c>
    </row>
    <row r="4700" spans="1:28" x14ac:dyDescent="0.15">
      <c r="A4700" s="1">
        <v>11646</v>
      </c>
      <c r="L4700" s="1" t="s">
        <v>2091</v>
      </c>
      <c r="N4700" s="1" t="s">
        <v>1131</v>
      </c>
      <c r="P4700" s="1" t="s">
        <v>2244</v>
      </c>
      <c r="Q4700" s="3">
        <v>0</v>
      </c>
      <c r="S4700" s="23" t="s">
        <v>5949</v>
      </c>
      <c r="W4700" s="45" t="str">
        <f>HYPERLINK("http://ictvonline.org/taxonomy/p/taxonomy-history?taxnode_id=201853505","ICTVonline=201853505")</f>
        <v>ICTVonline=201853505</v>
      </c>
      <c r="AA4700" s="1">
        <v>201850000</v>
      </c>
      <c r="AB4700" s="1">
        <v>34</v>
      </c>
    </row>
    <row r="4701" spans="1:28" x14ac:dyDescent="0.15">
      <c r="A4701" s="1">
        <v>11650</v>
      </c>
      <c r="L4701" s="1" t="s">
        <v>2091</v>
      </c>
      <c r="N4701" s="1" t="s">
        <v>2245</v>
      </c>
      <c r="P4701" s="1" t="s">
        <v>2246</v>
      </c>
      <c r="Q4701" s="3">
        <v>1</v>
      </c>
      <c r="S4701" s="23" t="s">
        <v>5949</v>
      </c>
      <c r="W4701" s="45" t="str">
        <f>HYPERLINK("http://ictvonline.org/taxonomy/p/taxonomy-history?taxnode_id=201853507","ICTVonline=201853507")</f>
        <v>ICTVonline=201853507</v>
      </c>
      <c r="AA4701" s="1">
        <v>201850000</v>
      </c>
      <c r="AB4701" s="1">
        <v>34</v>
      </c>
    </row>
    <row r="4702" spans="1:28" x14ac:dyDescent="0.15">
      <c r="A4702" s="1">
        <v>11654</v>
      </c>
      <c r="L4702" s="1" t="s">
        <v>2091</v>
      </c>
      <c r="N4702" s="1" t="s">
        <v>4708</v>
      </c>
      <c r="P4702" s="1" t="s">
        <v>4709</v>
      </c>
      <c r="Q4702" s="3">
        <v>1</v>
      </c>
      <c r="S4702" s="23" t="s">
        <v>5949</v>
      </c>
      <c r="W4702" s="45" t="str">
        <f>HYPERLINK("http://ictvonline.org/taxonomy/p/taxonomy-history?taxnode_id=201853509","ICTVonline=201853509")</f>
        <v>ICTVonline=201853509</v>
      </c>
      <c r="AA4702" s="1">
        <v>201850000</v>
      </c>
      <c r="AB4702" s="1">
        <v>34</v>
      </c>
    </row>
    <row r="4703" spans="1:28" x14ac:dyDescent="0.15">
      <c r="A4703" s="1">
        <v>11656</v>
      </c>
      <c r="L4703" s="1" t="s">
        <v>2091</v>
      </c>
      <c r="N4703" s="1" t="s">
        <v>4708</v>
      </c>
      <c r="P4703" s="1" t="s">
        <v>7075</v>
      </c>
      <c r="Q4703" s="3">
        <v>0</v>
      </c>
      <c r="S4703" s="23" t="s">
        <v>5949</v>
      </c>
      <c r="T4703" s="23" t="s">
        <v>4929</v>
      </c>
      <c r="U4703" s="3">
        <v>34</v>
      </c>
      <c r="V4703" s="3" t="s">
        <v>7047</v>
      </c>
      <c r="W4703" s="45" t="str">
        <f>HYPERLINK("http://ictvonline.org/taxonomy/p/taxonomy-history?taxnode_id=201856690","ICTVonline=201856690")</f>
        <v>ICTVonline=201856690</v>
      </c>
      <c r="AA4703" s="1">
        <v>201850000</v>
      </c>
      <c r="AB4703" s="1">
        <v>34</v>
      </c>
    </row>
    <row r="4704" spans="1:28" x14ac:dyDescent="0.15">
      <c r="A4704" s="1">
        <v>11658</v>
      </c>
      <c r="L4704" s="1" t="s">
        <v>2091</v>
      </c>
      <c r="N4704" s="1" t="s">
        <v>4708</v>
      </c>
      <c r="P4704" s="1" t="s">
        <v>7076</v>
      </c>
      <c r="Q4704" s="3">
        <v>0</v>
      </c>
      <c r="S4704" s="23" t="s">
        <v>5949</v>
      </c>
      <c r="T4704" s="23" t="s">
        <v>4929</v>
      </c>
      <c r="U4704" s="3">
        <v>34</v>
      </c>
      <c r="V4704" s="3" t="s">
        <v>7047</v>
      </c>
      <c r="W4704" s="45" t="str">
        <f>HYPERLINK("http://ictvonline.org/taxonomy/p/taxonomy-history?taxnode_id=201856689","ICTVonline=201856689")</f>
        <v>ICTVonline=201856689</v>
      </c>
      <c r="AA4704" s="1">
        <v>201850000</v>
      </c>
      <c r="AB4704" s="1">
        <v>34</v>
      </c>
    </row>
    <row r="4705" spans="1:28" x14ac:dyDescent="0.15">
      <c r="A4705" s="1">
        <v>11662</v>
      </c>
      <c r="L4705" s="1" t="s">
        <v>2091</v>
      </c>
      <c r="N4705" s="1" t="s">
        <v>676</v>
      </c>
      <c r="P4705" s="1" t="s">
        <v>3825</v>
      </c>
      <c r="Q4705" s="3">
        <v>0</v>
      </c>
      <c r="S4705" s="23" t="s">
        <v>5949</v>
      </c>
      <c r="W4705" s="45" t="str">
        <f>HYPERLINK("http://ictvonline.org/taxonomy/p/taxonomy-history?taxnode_id=201853511","ICTVonline=201853511")</f>
        <v>ICTVonline=201853511</v>
      </c>
      <c r="AA4705" s="1">
        <v>201850000</v>
      </c>
      <c r="AB4705" s="1">
        <v>34</v>
      </c>
    </row>
    <row r="4706" spans="1:28" x14ac:dyDescent="0.15">
      <c r="A4706" s="1">
        <v>11664</v>
      </c>
      <c r="L4706" s="1" t="s">
        <v>2091</v>
      </c>
      <c r="N4706" s="1" t="s">
        <v>676</v>
      </c>
      <c r="P4706" s="1" t="s">
        <v>2247</v>
      </c>
      <c r="Q4706" s="3">
        <v>0</v>
      </c>
      <c r="S4706" s="23" t="s">
        <v>5949</v>
      </c>
      <c r="W4706" s="45" t="str">
        <f>HYPERLINK("http://ictvonline.org/taxonomy/p/taxonomy-history?taxnode_id=201853512","ICTVonline=201853512")</f>
        <v>ICTVonline=201853512</v>
      </c>
      <c r="AA4706" s="1">
        <v>201850000</v>
      </c>
      <c r="AB4706" s="1">
        <v>34</v>
      </c>
    </row>
    <row r="4707" spans="1:28" x14ac:dyDescent="0.15">
      <c r="A4707" s="1">
        <v>11666</v>
      </c>
      <c r="L4707" s="1" t="s">
        <v>2091</v>
      </c>
      <c r="N4707" s="1" t="s">
        <v>676</v>
      </c>
      <c r="P4707" s="1" t="s">
        <v>2248</v>
      </c>
      <c r="Q4707" s="3">
        <v>0</v>
      </c>
      <c r="S4707" s="23" t="s">
        <v>5949</v>
      </c>
      <c r="W4707" s="45" t="str">
        <f>HYPERLINK("http://ictvonline.org/taxonomy/p/taxonomy-history?taxnode_id=201853513","ICTVonline=201853513")</f>
        <v>ICTVonline=201853513</v>
      </c>
      <c r="AA4707" s="1">
        <v>201850000</v>
      </c>
      <c r="AB4707" s="1">
        <v>34</v>
      </c>
    </row>
    <row r="4708" spans="1:28" x14ac:dyDescent="0.15">
      <c r="A4708" s="1">
        <v>11668</v>
      </c>
      <c r="L4708" s="1" t="s">
        <v>2091</v>
      </c>
      <c r="N4708" s="1" t="s">
        <v>676</v>
      </c>
      <c r="P4708" s="1" t="s">
        <v>2249</v>
      </c>
      <c r="Q4708" s="3">
        <v>0</v>
      </c>
      <c r="S4708" s="23" t="s">
        <v>5949</v>
      </c>
      <c r="W4708" s="45" t="str">
        <f>HYPERLINK("http://ictvonline.org/taxonomy/p/taxonomy-history?taxnode_id=201853514","ICTVonline=201853514")</f>
        <v>ICTVonline=201853514</v>
      </c>
      <c r="AA4708" s="1">
        <v>201850000</v>
      </c>
      <c r="AB4708" s="1">
        <v>34</v>
      </c>
    </row>
    <row r="4709" spans="1:28" x14ac:dyDescent="0.15">
      <c r="A4709" s="1">
        <v>11670</v>
      </c>
      <c r="L4709" s="1" t="s">
        <v>2091</v>
      </c>
      <c r="N4709" s="1" t="s">
        <v>676</v>
      </c>
      <c r="P4709" s="1" t="s">
        <v>2250</v>
      </c>
      <c r="Q4709" s="3">
        <v>0</v>
      </c>
      <c r="S4709" s="23" t="s">
        <v>5949</v>
      </c>
      <c r="W4709" s="45" t="str">
        <f>HYPERLINK("http://ictvonline.org/taxonomy/p/taxonomy-history?taxnode_id=201853515","ICTVonline=201853515")</f>
        <v>ICTVonline=201853515</v>
      </c>
      <c r="AA4709" s="1">
        <v>201850000</v>
      </c>
      <c r="AB4709" s="1">
        <v>34</v>
      </c>
    </row>
    <row r="4710" spans="1:28" x14ac:dyDescent="0.15">
      <c r="A4710" s="1">
        <v>11672</v>
      </c>
      <c r="L4710" s="1" t="s">
        <v>2091</v>
      </c>
      <c r="N4710" s="1" t="s">
        <v>676</v>
      </c>
      <c r="P4710" s="1" t="s">
        <v>2251</v>
      </c>
      <c r="Q4710" s="3">
        <v>0</v>
      </c>
      <c r="S4710" s="23" t="s">
        <v>5949</v>
      </c>
      <c r="W4710" s="45" t="str">
        <f>HYPERLINK("http://ictvonline.org/taxonomy/p/taxonomy-history?taxnode_id=201853516","ICTVonline=201853516")</f>
        <v>ICTVonline=201853516</v>
      </c>
      <c r="AA4710" s="1">
        <v>201850000</v>
      </c>
      <c r="AB4710" s="1">
        <v>34</v>
      </c>
    </row>
    <row r="4711" spans="1:28" x14ac:dyDescent="0.15">
      <c r="A4711" s="1">
        <v>11674</v>
      </c>
      <c r="L4711" s="1" t="s">
        <v>2091</v>
      </c>
      <c r="N4711" s="1" t="s">
        <v>676</v>
      </c>
      <c r="P4711" s="1" t="s">
        <v>5438</v>
      </c>
      <c r="Q4711" s="3">
        <v>0</v>
      </c>
      <c r="S4711" s="23" t="s">
        <v>5949</v>
      </c>
      <c r="W4711" s="45" t="str">
        <f>HYPERLINK("http://ictvonline.org/taxonomy/p/taxonomy-history?taxnode_id=201855853","ICTVonline=201855853")</f>
        <v>ICTVonline=201855853</v>
      </c>
      <c r="AA4711" s="1">
        <v>201850000</v>
      </c>
      <c r="AB4711" s="1">
        <v>34</v>
      </c>
    </row>
    <row r="4712" spans="1:28" x14ac:dyDescent="0.15">
      <c r="A4712" s="1">
        <v>11676</v>
      </c>
      <c r="L4712" s="1" t="s">
        <v>2091</v>
      </c>
      <c r="N4712" s="1" t="s">
        <v>676</v>
      </c>
      <c r="P4712" s="1" t="s">
        <v>2252</v>
      </c>
      <c r="Q4712" s="3">
        <v>0</v>
      </c>
      <c r="S4712" s="23" t="s">
        <v>5949</v>
      </c>
      <c r="W4712" s="45" t="str">
        <f>HYPERLINK("http://ictvonline.org/taxonomy/p/taxonomy-history?taxnode_id=201853517","ICTVonline=201853517")</f>
        <v>ICTVonline=201853517</v>
      </c>
      <c r="AA4712" s="1">
        <v>201850000</v>
      </c>
      <c r="AB4712" s="1">
        <v>34</v>
      </c>
    </row>
    <row r="4713" spans="1:28" x14ac:dyDescent="0.15">
      <c r="A4713" s="1">
        <v>11678</v>
      </c>
      <c r="L4713" s="1" t="s">
        <v>2091</v>
      </c>
      <c r="N4713" s="1" t="s">
        <v>676</v>
      </c>
      <c r="P4713" s="1" t="s">
        <v>1487</v>
      </c>
      <c r="Q4713" s="3">
        <v>0</v>
      </c>
      <c r="S4713" s="23" t="s">
        <v>5949</v>
      </c>
      <c r="W4713" s="45" t="str">
        <f>HYPERLINK("http://ictvonline.org/taxonomy/p/taxonomy-history?taxnode_id=201853518","ICTVonline=201853518")</f>
        <v>ICTVonline=201853518</v>
      </c>
      <c r="AA4713" s="1">
        <v>201850000</v>
      </c>
      <c r="AB4713" s="1">
        <v>34</v>
      </c>
    </row>
    <row r="4714" spans="1:28" x14ac:dyDescent="0.15">
      <c r="A4714" s="1">
        <v>11680</v>
      </c>
      <c r="L4714" s="1" t="s">
        <v>2091</v>
      </c>
      <c r="N4714" s="1" t="s">
        <v>676</v>
      </c>
      <c r="P4714" s="1" t="s">
        <v>2253</v>
      </c>
      <c r="Q4714" s="3">
        <v>0</v>
      </c>
      <c r="S4714" s="23" t="s">
        <v>5949</v>
      </c>
      <c r="W4714" s="45" t="str">
        <f>HYPERLINK("http://ictvonline.org/taxonomy/p/taxonomy-history?taxnode_id=201853519","ICTVonline=201853519")</f>
        <v>ICTVonline=201853519</v>
      </c>
      <c r="AA4714" s="1">
        <v>201850000</v>
      </c>
      <c r="AB4714" s="1">
        <v>34</v>
      </c>
    </row>
    <row r="4715" spans="1:28" x14ac:dyDescent="0.15">
      <c r="A4715" s="1">
        <v>11682</v>
      </c>
      <c r="L4715" s="1" t="s">
        <v>2091</v>
      </c>
      <c r="N4715" s="1" t="s">
        <v>676</v>
      </c>
      <c r="P4715" s="1" t="s">
        <v>2254</v>
      </c>
      <c r="Q4715" s="3">
        <v>0</v>
      </c>
      <c r="S4715" s="23" t="s">
        <v>5949</v>
      </c>
      <c r="W4715" s="45" t="str">
        <f>HYPERLINK("http://ictvonline.org/taxonomy/p/taxonomy-history?taxnode_id=201853520","ICTVonline=201853520")</f>
        <v>ICTVonline=201853520</v>
      </c>
      <c r="AA4715" s="1">
        <v>201850000</v>
      </c>
      <c r="AB4715" s="1">
        <v>34</v>
      </c>
    </row>
    <row r="4716" spans="1:28" x14ac:dyDescent="0.15">
      <c r="A4716" s="1">
        <v>11684</v>
      </c>
      <c r="L4716" s="1" t="s">
        <v>2091</v>
      </c>
      <c r="N4716" s="1" t="s">
        <v>676</v>
      </c>
      <c r="P4716" s="1" t="s">
        <v>1488</v>
      </c>
      <c r="Q4716" s="3">
        <v>0</v>
      </c>
      <c r="S4716" s="23" t="s">
        <v>5949</v>
      </c>
      <c r="W4716" s="45" t="str">
        <f>HYPERLINK("http://ictvonline.org/taxonomy/p/taxonomy-history?taxnode_id=201853521","ICTVonline=201853521")</f>
        <v>ICTVonline=201853521</v>
      </c>
      <c r="AA4716" s="1">
        <v>201850000</v>
      </c>
      <c r="AB4716" s="1">
        <v>34</v>
      </c>
    </row>
    <row r="4717" spans="1:28" x14ac:dyDescent="0.15">
      <c r="A4717" s="1">
        <v>11686</v>
      </c>
      <c r="L4717" s="1" t="s">
        <v>2091</v>
      </c>
      <c r="N4717" s="1" t="s">
        <v>676</v>
      </c>
      <c r="P4717" s="1" t="s">
        <v>5439</v>
      </c>
      <c r="Q4717" s="3">
        <v>0</v>
      </c>
      <c r="S4717" s="23" t="s">
        <v>5949</v>
      </c>
      <c r="W4717" s="45" t="str">
        <f>HYPERLINK("http://ictvonline.org/taxonomy/p/taxonomy-history?taxnode_id=201855854","ICTVonline=201855854")</f>
        <v>ICTVonline=201855854</v>
      </c>
      <c r="AA4717" s="1">
        <v>201850000</v>
      </c>
      <c r="AB4717" s="1">
        <v>34</v>
      </c>
    </row>
    <row r="4718" spans="1:28" x14ac:dyDescent="0.15">
      <c r="A4718" s="1">
        <v>11688</v>
      </c>
      <c r="L4718" s="1" t="s">
        <v>2091</v>
      </c>
      <c r="N4718" s="1" t="s">
        <v>676</v>
      </c>
      <c r="P4718" s="1" t="s">
        <v>2255</v>
      </c>
      <c r="Q4718" s="3">
        <v>0</v>
      </c>
      <c r="S4718" s="23" t="s">
        <v>5949</v>
      </c>
      <c r="W4718" s="45" t="str">
        <f>HYPERLINK("http://ictvonline.org/taxonomy/p/taxonomy-history?taxnode_id=201853522","ICTVonline=201853522")</f>
        <v>ICTVonline=201853522</v>
      </c>
      <c r="AA4718" s="1">
        <v>201850000</v>
      </c>
      <c r="AB4718" s="1">
        <v>34</v>
      </c>
    </row>
    <row r="4719" spans="1:28" x14ac:dyDescent="0.15">
      <c r="A4719" s="1">
        <v>11690</v>
      </c>
      <c r="L4719" s="1" t="s">
        <v>2091</v>
      </c>
      <c r="N4719" s="1" t="s">
        <v>676</v>
      </c>
      <c r="P4719" s="1" t="s">
        <v>565</v>
      </c>
      <c r="Q4719" s="3">
        <v>0</v>
      </c>
      <c r="S4719" s="23" t="s">
        <v>5949</v>
      </c>
      <c r="W4719" s="45" t="str">
        <f>HYPERLINK("http://ictvonline.org/taxonomy/p/taxonomy-history?taxnode_id=201853523","ICTVonline=201853523")</f>
        <v>ICTVonline=201853523</v>
      </c>
      <c r="AA4719" s="1">
        <v>201850000</v>
      </c>
      <c r="AB4719" s="1">
        <v>34</v>
      </c>
    </row>
    <row r="4720" spans="1:28" x14ac:dyDescent="0.15">
      <c r="A4720" s="1">
        <v>11692</v>
      </c>
      <c r="L4720" s="1" t="s">
        <v>2091</v>
      </c>
      <c r="N4720" s="1" t="s">
        <v>676</v>
      </c>
      <c r="P4720" s="1" t="s">
        <v>2256</v>
      </c>
      <c r="Q4720" s="3">
        <v>0</v>
      </c>
      <c r="S4720" s="23" t="s">
        <v>5949</v>
      </c>
      <c r="W4720" s="45" t="str">
        <f>HYPERLINK("http://ictvonline.org/taxonomy/p/taxonomy-history?taxnode_id=201853524","ICTVonline=201853524")</f>
        <v>ICTVonline=201853524</v>
      </c>
      <c r="AA4720" s="1">
        <v>201850000</v>
      </c>
      <c r="AB4720" s="1">
        <v>34</v>
      </c>
    </row>
    <row r="4721" spans="1:28" x14ac:dyDescent="0.15">
      <c r="A4721" s="1">
        <v>11694</v>
      </c>
      <c r="L4721" s="1" t="s">
        <v>2091</v>
      </c>
      <c r="N4721" s="1" t="s">
        <v>676</v>
      </c>
      <c r="P4721" s="1" t="s">
        <v>1489</v>
      </c>
      <c r="Q4721" s="3">
        <v>1</v>
      </c>
      <c r="S4721" s="23" t="s">
        <v>5949</v>
      </c>
      <c r="W4721" s="45" t="str">
        <f>HYPERLINK("http://ictvonline.org/taxonomy/p/taxonomy-history?taxnode_id=201853525","ICTVonline=201853525")</f>
        <v>ICTVonline=201853525</v>
      </c>
      <c r="AA4721" s="1">
        <v>201850000</v>
      </c>
      <c r="AB4721" s="1">
        <v>34</v>
      </c>
    </row>
    <row r="4722" spans="1:28" x14ac:dyDescent="0.15">
      <c r="A4722" s="1">
        <v>11696</v>
      </c>
      <c r="L4722" s="1" t="s">
        <v>2091</v>
      </c>
      <c r="N4722" s="1" t="s">
        <v>676</v>
      </c>
      <c r="P4722" s="1" t="s">
        <v>7077</v>
      </c>
      <c r="Q4722" s="3">
        <v>0</v>
      </c>
      <c r="S4722" s="23" t="s">
        <v>5949</v>
      </c>
      <c r="T4722" s="23" t="s">
        <v>4929</v>
      </c>
      <c r="U4722" s="3">
        <v>34</v>
      </c>
      <c r="V4722" s="3" t="s">
        <v>7047</v>
      </c>
      <c r="W4722" s="45" t="str">
        <f>HYPERLINK("http://ictvonline.org/taxonomy/p/taxonomy-history?taxnode_id=201856685","ICTVonline=201856685")</f>
        <v>ICTVonline=201856685</v>
      </c>
      <c r="AA4722" s="1">
        <v>201850000</v>
      </c>
      <c r="AB4722" s="1">
        <v>34</v>
      </c>
    </row>
    <row r="4723" spans="1:28" x14ac:dyDescent="0.15">
      <c r="A4723" s="1">
        <v>11698</v>
      </c>
      <c r="L4723" s="1" t="s">
        <v>2091</v>
      </c>
      <c r="N4723" s="1" t="s">
        <v>676</v>
      </c>
      <c r="P4723" s="1" t="s">
        <v>372</v>
      </c>
      <c r="Q4723" s="3">
        <v>0</v>
      </c>
      <c r="S4723" s="23" t="s">
        <v>5949</v>
      </c>
      <c r="W4723" s="45" t="str">
        <f>HYPERLINK("http://ictvonline.org/taxonomy/p/taxonomy-history?taxnode_id=201853526","ICTVonline=201853526")</f>
        <v>ICTVonline=201853526</v>
      </c>
      <c r="AA4723" s="1">
        <v>201850000</v>
      </c>
      <c r="AB4723" s="1">
        <v>34</v>
      </c>
    </row>
    <row r="4724" spans="1:28" x14ac:dyDescent="0.15">
      <c r="A4724" s="1">
        <v>11700</v>
      </c>
      <c r="L4724" s="1" t="s">
        <v>2091</v>
      </c>
      <c r="N4724" s="1" t="s">
        <v>676</v>
      </c>
      <c r="P4724" s="1" t="s">
        <v>2257</v>
      </c>
      <c r="Q4724" s="3">
        <v>0</v>
      </c>
      <c r="S4724" s="23" t="s">
        <v>5949</v>
      </c>
      <c r="W4724" s="45" t="str">
        <f>HYPERLINK("http://ictvonline.org/taxonomy/p/taxonomy-history?taxnode_id=201853527","ICTVonline=201853527")</f>
        <v>ICTVonline=201853527</v>
      </c>
      <c r="AA4724" s="1">
        <v>201850000</v>
      </c>
      <c r="AB4724" s="1">
        <v>34</v>
      </c>
    </row>
    <row r="4725" spans="1:28" x14ac:dyDescent="0.15">
      <c r="A4725" s="1">
        <v>11702</v>
      </c>
      <c r="L4725" s="1" t="s">
        <v>2091</v>
      </c>
      <c r="N4725" s="1" t="s">
        <v>676</v>
      </c>
      <c r="P4725" s="1" t="s">
        <v>373</v>
      </c>
      <c r="Q4725" s="3">
        <v>0</v>
      </c>
      <c r="S4725" s="23" t="s">
        <v>5949</v>
      </c>
      <c r="W4725" s="45" t="str">
        <f>HYPERLINK("http://ictvonline.org/taxonomy/p/taxonomy-history?taxnode_id=201853528","ICTVonline=201853528")</f>
        <v>ICTVonline=201853528</v>
      </c>
      <c r="AA4725" s="1">
        <v>201850000</v>
      </c>
      <c r="AB4725" s="1">
        <v>34</v>
      </c>
    </row>
    <row r="4726" spans="1:28" x14ac:dyDescent="0.15">
      <c r="A4726" s="1">
        <v>11704</v>
      </c>
      <c r="L4726" s="1" t="s">
        <v>2091</v>
      </c>
      <c r="N4726" s="1" t="s">
        <v>676</v>
      </c>
      <c r="P4726" s="1" t="s">
        <v>2258</v>
      </c>
      <c r="Q4726" s="3">
        <v>0</v>
      </c>
      <c r="S4726" s="23" t="s">
        <v>5949</v>
      </c>
      <c r="W4726" s="45" t="str">
        <f>HYPERLINK("http://ictvonline.org/taxonomy/p/taxonomy-history?taxnode_id=201853529","ICTVonline=201853529")</f>
        <v>ICTVonline=201853529</v>
      </c>
      <c r="AA4726" s="1">
        <v>201850000</v>
      </c>
      <c r="AB4726" s="1">
        <v>34</v>
      </c>
    </row>
    <row r="4727" spans="1:28" x14ac:dyDescent="0.15">
      <c r="A4727" s="1">
        <v>11706</v>
      </c>
      <c r="L4727" s="1" t="s">
        <v>2091</v>
      </c>
      <c r="N4727" s="1" t="s">
        <v>676</v>
      </c>
      <c r="P4727" s="1" t="s">
        <v>2259</v>
      </c>
      <c r="Q4727" s="3">
        <v>0</v>
      </c>
      <c r="S4727" s="23" t="s">
        <v>5949</v>
      </c>
      <c r="W4727" s="45" t="str">
        <f>HYPERLINK("http://ictvonline.org/taxonomy/p/taxonomy-history?taxnode_id=201853530","ICTVonline=201853530")</f>
        <v>ICTVonline=201853530</v>
      </c>
      <c r="AA4727" s="1">
        <v>201850000</v>
      </c>
      <c r="AB4727" s="1">
        <v>34</v>
      </c>
    </row>
    <row r="4728" spans="1:28" x14ac:dyDescent="0.15">
      <c r="A4728" s="1">
        <v>11708</v>
      </c>
      <c r="L4728" s="1" t="s">
        <v>2091</v>
      </c>
      <c r="N4728" s="1" t="s">
        <v>676</v>
      </c>
      <c r="P4728" s="1" t="s">
        <v>7078</v>
      </c>
      <c r="Q4728" s="3">
        <v>0</v>
      </c>
      <c r="S4728" s="23" t="s">
        <v>5949</v>
      </c>
      <c r="T4728" s="23" t="s">
        <v>4929</v>
      </c>
      <c r="U4728" s="3">
        <v>34</v>
      </c>
      <c r="V4728" s="3" t="s">
        <v>7047</v>
      </c>
      <c r="W4728" s="45" t="str">
        <f>HYPERLINK("http://ictvonline.org/taxonomy/p/taxonomy-history?taxnode_id=201856686","ICTVonline=201856686")</f>
        <v>ICTVonline=201856686</v>
      </c>
      <c r="AA4728" s="1">
        <v>201850000</v>
      </c>
      <c r="AB4728" s="1">
        <v>34</v>
      </c>
    </row>
    <row r="4729" spans="1:28" x14ac:dyDescent="0.15">
      <c r="A4729" s="1">
        <v>11710</v>
      </c>
      <c r="L4729" s="1" t="s">
        <v>2091</v>
      </c>
      <c r="N4729" s="1" t="s">
        <v>676</v>
      </c>
      <c r="P4729" s="1" t="s">
        <v>7079</v>
      </c>
      <c r="Q4729" s="3">
        <v>0</v>
      </c>
      <c r="S4729" s="23" t="s">
        <v>5949</v>
      </c>
      <c r="T4729" s="23" t="s">
        <v>4929</v>
      </c>
      <c r="U4729" s="3">
        <v>34</v>
      </c>
      <c r="V4729" s="3" t="s">
        <v>7047</v>
      </c>
      <c r="W4729" s="45" t="str">
        <f>HYPERLINK("http://ictvonline.org/taxonomy/p/taxonomy-history?taxnode_id=201856687","ICTVonline=201856687")</f>
        <v>ICTVonline=201856687</v>
      </c>
      <c r="AA4729" s="1">
        <v>201850000</v>
      </c>
      <c r="AB4729" s="1">
        <v>34</v>
      </c>
    </row>
    <row r="4730" spans="1:28" x14ac:dyDescent="0.15">
      <c r="A4730" s="1">
        <v>11712</v>
      </c>
      <c r="L4730" s="1" t="s">
        <v>2091</v>
      </c>
      <c r="N4730" s="1" t="s">
        <v>676</v>
      </c>
      <c r="P4730" s="1" t="s">
        <v>2260</v>
      </c>
      <c r="Q4730" s="3">
        <v>0</v>
      </c>
      <c r="S4730" s="23" t="s">
        <v>5949</v>
      </c>
      <c r="W4730" s="45" t="str">
        <f>HYPERLINK("http://ictvonline.org/taxonomy/p/taxonomy-history?taxnode_id=201853531","ICTVonline=201853531")</f>
        <v>ICTVonline=201853531</v>
      </c>
      <c r="AA4730" s="1">
        <v>201850000</v>
      </c>
      <c r="AB4730" s="1">
        <v>34</v>
      </c>
    </row>
    <row r="4731" spans="1:28" x14ac:dyDescent="0.15">
      <c r="A4731" s="1">
        <v>11714</v>
      </c>
      <c r="L4731" s="1" t="s">
        <v>2091</v>
      </c>
      <c r="N4731" s="1" t="s">
        <v>676</v>
      </c>
      <c r="P4731" s="1" t="s">
        <v>5440</v>
      </c>
      <c r="Q4731" s="3">
        <v>0</v>
      </c>
      <c r="S4731" s="23" t="s">
        <v>5949</v>
      </c>
      <c r="W4731" s="45" t="str">
        <f>HYPERLINK("http://ictvonline.org/taxonomy/p/taxonomy-history?taxnode_id=201853532","ICTVonline=201853532")</f>
        <v>ICTVonline=201853532</v>
      </c>
      <c r="AA4731" s="1">
        <v>201850000</v>
      </c>
      <c r="AB4731" s="1">
        <v>34</v>
      </c>
    </row>
    <row r="4732" spans="1:28" x14ac:dyDescent="0.15">
      <c r="A4732" s="1">
        <v>11716</v>
      </c>
      <c r="L4732" s="1" t="s">
        <v>2091</v>
      </c>
      <c r="N4732" s="1" t="s">
        <v>676</v>
      </c>
      <c r="P4732" s="1" t="s">
        <v>5441</v>
      </c>
      <c r="Q4732" s="3">
        <v>0</v>
      </c>
      <c r="S4732" s="23" t="s">
        <v>5949</v>
      </c>
      <c r="W4732" s="45" t="str">
        <f>HYPERLINK("http://ictvonline.org/taxonomy/p/taxonomy-history?taxnode_id=201853533","ICTVonline=201853533")</f>
        <v>ICTVonline=201853533</v>
      </c>
      <c r="AA4732" s="1">
        <v>201850000</v>
      </c>
      <c r="AB4732" s="1">
        <v>34</v>
      </c>
    </row>
    <row r="4733" spans="1:28" x14ac:dyDescent="0.15">
      <c r="A4733" s="1">
        <v>11718</v>
      </c>
      <c r="L4733" s="1" t="s">
        <v>2091</v>
      </c>
      <c r="N4733" s="1" t="s">
        <v>676</v>
      </c>
      <c r="P4733" s="1" t="s">
        <v>5442</v>
      </c>
      <c r="Q4733" s="3">
        <v>0</v>
      </c>
      <c r="S4733" s="23" t="s">
        <v>5949</v>
      </c>
      <c r="W4733" s="45" t="str">
        <f>HYPERLINK("http://ictvonline.org/taxonomy/p/taxonomy-history?taxnode_id=201855855","ICTVonline=201855855")</f>
        <v>ICTVonline=201855855</v>
      </c>
      <c r="AA4733" s="1">
        <v>201850000</v>
      </c>
      <c r="AB4733" s="1">
        <v>34</v>
      </c>
    </row>
    <row r="4734" spans="1:28" x14ac:dyDescent="0.15">
      <c r="A4734" s="1">
        <v>11720</v>
      </c>
      <c r="L4734" s="1" t="s">
        <v>2091</v>
      </c>
      <c r="N4734" s="1" t="s">
        <v>676</v>
      </c>
      <c r="P4734" s="1" t="s">
        <v>374</v>
      </c>
      <c r="Q4734" s="3">
        <v>0</v>
      </c>
      <c r="S4734" s="23" t="s">
        <v>5949</v>
      </c>
      <c r="W4734" s="45" t="str">
        <f>HYPERLINK("http://ictvonline.org/taxonomy/p/taxonomy-history?taxnode_id=201853534","ICTVonline=201853534")</f>
        <v>ICTVonline=201853534</v>
      </c>
      <c r="AA4734" s="1">
        <v>201850000</v>
      </c>
      <c r="AB4734" s="1">
        <v>34</v>
      </c>
    </row>
    <row r="4735" spans="1:28" x14ac:dyDescent="0.15">
      <c r="A4735" s="1">
        <v>11722</v>
      </c>
      <c r="L4735" s="1" t="s">
        <v>2091</v>
      </c>
      <c r="N4735" s="1" t="s">
        <v>676</v>
      </c>
      <c r="P4735" s="1" t="s">
        <v>375</v>
      </c>
      <c r="Q4735" s="3">
        <v>0</v>
      </c>
      <c r="S4735" s="23" t="s">
        <v>5949</v>
      </c>
      <c r="W4735" s="45" t="str">
        <f>HYPERLINK("http://ictvonline.org/taxonomy/p/taxonomy-history?taxnode_id=201853535","ICTVonline=201853535")</f>
        <v>ICTVonline=201853535</v>
      </c>
      <c r="AA4735" s="1">
        <v>201850000</v>
      </c>
      <c r="AB4735" s="1">
        <v>34</v>
      </c>
    </row>
    <row r="4736" spans="1:28" x14ac:dyDescent="0.15">
      <c r="A4736" s="1">
        <v>11724</v>
      </c>
      <c r="L4736" s="1" t="s">
        <v>2091</v>
      </c>
      <c r="N4736" s="1" t="s">
        <v>676</v>
      </c>
      <c r="P4736" s="1" t="s">
        <v>376</v>
      </c>
      <c r="Q4736" s="3">
        <v>0</v>
      </c>
      <c r="S4736" s="23" t="s">
        <v>5949</v>
      </c>
      <c r="W4736" s="45" t="str">
        <f>HYPERLINK("http://ictvonline.org/taxonomy/p/taxonomy-history?taxnode_id=201853536","ICTVonline=201853536")</f>
        <v>ICTVonline=201853536</v>
      </c>
      <c r="AA4736" s="1">
        <v>201850000</v>
      </c>
      <c r="AB4736" s="1">
        <v>34</v>
      </c>
    </row>
    <row r="4737" spans="1:28" x14ac:dyDescent="0.15">
      <c r="A4737" s="1">
        <v>11726</v>
      </c>
      <c r="L4737" s="1" t="s">
        <v>2091</v>
      </c>
      <c r="N4737" s="1" t="s">
        <v>676</v>
      </c>
      <c r="P4737" s="1" t="s">
        <v>5443</v>
      </c>
      <c r="Q4737" s="3">
        <v>0</v>
      </c>
      <c r="S4737" s="23" t="s">
        <v>5949</v>
      </c>
      <c r="W4737" s="45" t="str">
        <f>HYPERLINK("http://ictvonline.org/taxonomy/p/taxonomy-history?taxnode_id=201855856","ICTVonline=201855856")</f>
        <v>ICTVonline=201855856</v>
      </c>
      <c r="AA4737" s="1">
        <v>201850000</v>
      </c>
      <c r="AB4737" s="1">
        <v>34</v>
      </c>
    </row>
    <row r="4738" spans="1:28" x14ac:dyDescent="0.15">
      <c r="A4738" s="1">
        <v>11728</v>
      </c>
      <c r="L4738" s="1" t="s">
        <v>2091</v>
      </c>
      <c r="N4738" s="1" t="s">
        <v>676</v>
      </c>
      <c r="P4738" s="1" t="s">
        <v>3826</v>
      </c>
      <c r="Q4738" s="3">
        <v>0</v>
      </c>
      <c r="S4738" s="23" t="s">
        <v>5949</v>
      </c>
      <c r="W4738" s="45" t="str">
        <f>HYPERLINK("http://ictvonline.org/taxonomy/p/taxonomy-history?taxnode_id=201853537","ICTVonline=201853537")</f>
        <v>ICTVonline=201853537</v>
      </c>
      <c r="AA4738" s="1">
        <v>201850000</v>
      </c>
      <c r="AB4738" s="1">
        <v>34</v>
      </c>
    </row>
    <row r="4739" spans="1:28" x14ac:dyDescent="0.15">
      <c r="A4739" s="1">
        <v>11730</v>
      </c>
      <c r="L4739" s="1" t="s">
        <v>2091</v>
      </c>
      <c r="N4739" s="1" t="s">
        <v>676</v>
      </c>
      <c r="P4739" s="1" t="s">
        <v>5444</v>
      </c>
      <c r="Q4739" s="3">
        <v>0</v>
      </c>
      <c r="S4739" s="23" t="s">
        <v>5949</v>
      </c>
      <c r="W4739" s="45" t="str">
        <f>HYPERLINK("http://ictvonline.org/taxonomy/p/taxonomy-history?taxnode_id=201855857","ICTVonline=201855857")</f>
        <v>ICTVonline=201855857</v>
      </c>
      <c r="AA4739" s="1">
        <v>201850000</v>
      </c>
      <c r="AB4739" s="1">
        <v>34</v>
      </c>
    </row>
    <row r="4740" spans="1:28" x14ac:dyDescent="0.15">
      <c r="A4740" s="1">
        <v>11732</v>
      </c>
      <c r="L4740" s="1" t="s">
        <v>2091</v>
      </c>
      <c r="N4740" s="1" t="s">
        <v>676</v>
      </c>
      <c r="P4740" s="1" t="s">
        <v>3827</v>
      </c>
      <c r="Q4740" s="3">
        <v>0</v>
      </c>
      <c r="S4740" s="23" t="s">
        <v>5949</v>
      </c>
      <c r="W4740" s="45" t="str">
        <f>HYPERLINK("http://ictvonline.org/taxonomy/p/taxonomy-history?taxnode_id=201853538","ICTVonline=201853538")</f>
        <v>ICTVonline=201853538</v>
      </c>
      <c r="AA4740" s="1">
        <v>201850000</v>
      </c>
      <c r="AB4740" s="1">
        <v>34</v>
      </c>
    </row>
    <row r="4741" spans="1:28" x14ac:dyDescent="0.15">
      <c r="A4741" s="1">
        <v>11734</v>
      </c>
      <c r="L4741" s="1" t="s">
        <v>2091</v>
      </c>
      <c r="N4741" s="1" t="s">
        <v>676</v>
      </c>
      <c r="P4741" s="1" t="s">
        <v>377</v>
      </c>
      <c r="Q4741" s="3">
        <v>0</v>
      </c>
      <c r="S4741" s="23" t="s">
        <v>5949</v>
      </c>
      <c r="W4741" s="45" t="str">
        <f>HYPERLINK("http://ictvonline.org/taxonomy/p/taxonomy-history?taxnode_id=201853539","ICTVonline=201853539")</f>
        <v>ICTVonline=201853539</v>
      </c>
      <c r="AA4741" s="1">
        <v>201850000</v>
      </c>
      <c r="AB4741" s="1">
        <v>34</v>
      </c>
    </row>
    <row r="4742" spans="1:28" x14ac:dyDescent="0.15">
      <c r="A4742" s="1">
        <v>11736</v>
      </c>
      <c r="L4742" s="1" t="s">
        <v>2091</v>
      </c>
      <c r="N4742" s="1" t="s">
        <v>676</v>
      </c>
      <c r="P4742" s="1" t="s">
        <v>566</v>
      </c>
      <c r="Q4742" s="3">
        <v>0</v>
      </c>
      <c r="S4742" s="23" t="s">
        <v>5949</v>
      </c>
      <c r="W4742" s="45" t="str">
        <f>HYPERLINK("http://ictvonline.org/taxonomy/p/taxonomy-history?taxnode_id=201853540","ICTVonline=201853540")</f>
        <v>ICTVonline=201853540</v>
      </c>
      <c r="AA4742" s="1">
        <v>201850000</v>
      </c>
      <c r="AB4742" s="1">
        <v>34</v>
      </c>
    </row>
    <row r="4743" spans="1:28" x14ac:dyDescent="0.15">
      <c r="A4743" s="1">
        <v>11738</v>
      </c>
      <c r="L4743" s="1" t="s">
        <v>2091</v>
      </c>
      <c r="N4743" s="1" t="s">
        <v>676</v>
      </c>
      <c r="P4743" s="1" t="s">
        <v>2261</v>
      </c>
      <c r="Q4743" s="3">
        <v>0</v>
      </c>
      <c r="S4743" s="23" t="s">
        <v>5949</v>
      </c>
      <c r="W4743" s="45" t="str">
        <f>HYPERLINK("http://ictvonline.org/taxonomy/p/taxonomy-history?taxnode_id=201853541","ICTVonline=201853541")</f>
        <v>ICTVonline=201853541</v>
      </c>
      <c r="AA4743" s="1">
        <v>201850000</v>
      </c>
      <c r="AB4743" s="1">
        <v>34</v>
      </c>
    </row>
    <row r="4744" spans="1:28" x14ac:dyDescent="0.15">
      <c r="A4744" s="1">
        <v>11740</v>
      </c>
      <c r="L4744" s="1" t="s">
        <v>2091</v>
      </c>
      <c r="N4744" s="1" t="s">
        <v>676</v>
      </c>
      <c r="P4744" s="1" t="s">
        <v>378</v>
      </c>
      <c r="Q4744" s="3">
        <v>0</v>
      </c>
      <c r="S4744" s="23" t="s">
        <v>5949</v>
      </c>
      <c r="W4744" s="45" t="str">
        <f>HYPERLINK("http://ictvonline.org/taxonomy/p/taxonomy-history?taxnode_id=201853542","ICTVonline=201853542")</f>
        <v>ICTVonline=201853542</v>
      </c>
      <c r="AA4744" s="1">
        <v>201850000</v>
      </c>
      <c r="AB4744" s="1">
        <v>34</v>
      </c>
    </row>
    <row r="4745" spans="1:28" x14ac:dyDescent="0.15">
      <c r="A4745" s="1">
        <v>11744</v>
      </c>
      <c r="L4745" s="1" t="s">
        <v>2091</v>
      </c>
      <c r="N4745" s="1" t="s">
        <v>379</v>
      </c>
      <c r="P4745" s="1" t="s">
        <v>380</v>
      </c>
      <c r="Q4745" s="3">
        <v>1</v>
      </c>
      <c r="S4745" s="23" t="s">
        <v>5949</v>
      </c>
      <c r="W4745" s="45" t="str">
        <f>HYPERLINK("http://ictvonline.org/taxonomy/p/taxonomy-history?taxnode_id=201853544","ICTVonline=201853544")</f>
        <v>ICTVonline=201853544</v>
      </c>
      <c r="AA4745" s="1">
        <v>201850000</v>
      </c>
      <c r="AB4745" s="1">
        <v>34</v>
      </c>
    </row>
    <row r="4746" spans="1:28" x14ac:dyDescent="0.15">
      <c r="A4746" s="1">
        <v>11748</v>
      </c>
      <c r="L4746" s="1" t="s">
        <v>2091</v>
      </c>
      <c r="N4746" s="1" t="s">
        <v>2262</v>
      </c>
      <c r="P4746" s="1" t="s">
        <v>2263</v>
      </c>
      <c r="Q4746" s="3">
        <v>1</v>
      </c>
      <c r="S4746" s="23" t="s">
        <v>5949</v>
      </c>
      <c r="W4746" s="45" t="str">
        <f>HYPERLINK("http://ictvonline.org/taxonomy/p/taxonomy-history?taxnode_id=201853546","ICTVonline=201853546")</f>
        <v>ICTVonline=201853546</v>
      </c>
      <c r="AA4746" s="1">
        <v>201850000</v>
      </c>
      <c r="AB4746" s="1">
        <v>34</v>
      </c>
    </row>
    <row r="4747" spans="1:28" x14ac:dyDescent="0.15">
      <c r="A4747" s="1">
        <v>11750</v>
      </c>
      <c r="L4747" s="1" t="s">
        <v>2091</v>
      </c>
      <c r="N4747" s="1" t="s">
        <v>2262</v>
      </c>
      <c r="P4747" s="1" t="s">
        <v>5445</v>
      </c>
      <c r="Q4747" s="3">
        <v>0</v>
      </c>
      <c r="S4747" s="23" t="s">
        <v>5949</v>
      </c>
      <c r="W4747" s="45" t="str">
        <f>HYPERLINK("http://ictvonline.org/taxonomy/p/taxonomy-history?taxnode_id=201855858","ICTVonline=201855858")</f>
        <v>ICTVonline=201855858</v>
      </c>
      <c r="AA4747" s="1">
        <v>201850000</v>
      </c>
      <c r="AB4747" s="1">
        <v>34</v>
      </c>
    </row>
    <row r="4748" spans="1:28" x14ac:dyDescent="0.15">
      <c r="A4748" s="1">
        <v>11753</v>
      </c>
      <c r="L4748" s="1" t="s">
        <v>2091</v>
      </c>
      <c r="P4748" s="1" t="s">
        <v>4710</v>
      </c>
      <c r="Q4748" s="3">
        <v>0</v>
      </c>
      <c r="S4748" s="23" t="s">
        <v>5949</v>
      </c>
      <c r="W4748" s="45" t="str">
        <f>HYPERLINK("http://ictvonline.org/taxonomy/p/taxonomy-history?taxnode_id=201853548","ICTVonline=201853548")</f>
        <v>ICTVonline=201853548</v>
      </c>
      <c r="AA4748" s="1">
        <v>201850000</v>
      </c>
      <c r="AB4748" s="1">
        <v>34</v>
      </c>
    </row>
    <row r="4749" spans="1:28" x14ac:dyDescent="0.15">
      <c r="A4749" s="1">
        <v>11755</v>
      </c>
      <c r="L4749" s="1" t="s">
        <v>2091</v>
      </c>
      <c r="P4749" s="1" t="s">
        <v>4711</v>
      </c>
      <c r="Q4749" s="3">
        <v>0</v>
      </c>
      <c r="S4749" s="23" t="s">
        <v>5949</v>
      </c>
      <c r="W4749" s="45" t="str">
        <f>HYPERLINK("http://ictvonline.org/taxonomy/p/taxonomy-history?taxnode_id=201853549","ICTVonline=201853549")</f>
        <v>ICTVonline=201853549</v>
      </c>
      <c r="AA4749" s="1">
        <v>201850000</v>
      </c>
      <c r="AB4749" s="1">
        <v>34</v>
      </c>
    </row>
    <row r="4750" spans="1:28" x14ac:dyDescent="0.15">
      <c r="A4750" s="1">
        <v>11760</v>
      </c>
      <c r="L4750" s="1" t="s">
        <v>3828</v>
      </c>
      <c r="N4750" s="1" t="s">
        <v>3829</v>
      </c>
      <c r="P4750" s="1" t="s">
        <v>4712</v>
      </c>
      <c r="Q4750" s="3">
        <v>0</v>
      </c>
      <c r="S4750" s="23" t="s">
        <v>5949</v>
      </c>
      <c r="W4750" s="45" t="str">
        <f>HYPERLINK("http://ictvonline.org/taxonomy/p/taxonomy-history?taxnode_id=201853553","ICTVonline=201853553")</f>
        <v>ICTVonline=201853553</v>
      </c>
      <c r="AA4750" s="1">
        <v>201850000</v>
      </c>
      <c r="AB4750" s="1">
        <v>34</v>
      </c>
    </row>
    <row r="4751" spans="1:28" x14ac:dyDescent="0.15">
      <c r="A4751" s="1">
        <v>11762</v>
      </c>
      <c r="L4751" s="1" t="s">
        <v>3828</v>
      </c>
      <c r="N4751" s="1" t="s">
        <v>3829</v>
      </c>
      <c r="P4751" s="1" t="s">
        <v>4713</v>
      </c>
      <c r="Q4751" s="3">
        <v>0</v>
      </c>
      <c r="S4751" s="23" t="s">
        <v>5949</v>
      </c>
      <c r="W4751" s="45" t="str">
        <f>HYPERLINK("http://ictvonline.org/taxonomy/p/taxonomy-history?taxnode_id=201853554","ICTVonline=201853554")</f>
        <v>ICTVonline=201853554</v>
      </c>
      <c r="AA4751" s="1">
        <v>201850000</v>
      </c>
      <c r="AB4751" s="1">
        <v>34</v>
      </c>
    </row>
    <row r="4752" spans="1:28" x14ac:dyDescent="0.15">
      <c r="A4752" s="1">
        <v>11764</v>
      </c>
      <c r="L4752" s="1" t="s">
        <v>3828</v>
      </c>
      <c r="N4752" s="1" t="s">
        <v>3829</v>
      </c>
      <c r="P4752" s="1" t="s">
        <v>4714</v>
      </c>
      <c r="Q4752" s="3">
        <v>0</v>
      </c>
      <c r="S4752" s="23" t="s">
        <v>5949</v>
      </c>
      <c r="W4752" s="45" t="str">
        <f>HYPERLINK("http://ictvonline.org/taxonomy/p/taxonomy-history?taxnode_id=201853555","ICTVonline=201853555")</f>
        <v>ICTVonline=201853555</v>
      </c>
      <c r="AA4752" s="1">
        <v>201850000</v>
      </c>
      <c r="AB4752" s="1">
        <v>34</v>
      </c>
    </row>
    <row r="4753" spans="1:28" x14ac:dyDescent="0.15">
      <c r="A4753" s="1">
        <v>11766</v>
      </c>
      <c r="L4753" s="1" t="s">
        <v>3828</v>
      </c>
      <c r="N4753" s="1" t="s">
        <v>3829</v>
      </c>
      <c r="P4753" s="1" t="s">
        <v>4715</v>
      </c>
      <c r="Q4753" s="3">
        <v>0</v>
      </c>
      <c r="S4753" s="23" t="s">
        <v>5949</v>
      </c>
      <c r="W4753" s="45" t="str">
        <f>HYPERLINK("http://ictvonline.org/taxonomy/p/taxonomy-history?taxnode_id=201853556","ICTVonline=201853556")</f>
        <v>ICTVonline=201853556</v>
      </c>
      <c r="AA4753" s="1">
        <v>201850000</v>
      </c>
      <c r="AB4753" s="1">
        <v>34</v>
      </c>
    </row>
    <row r="4754" spans="1:28" x14ac:dyDescent="0.15">
      <c r="A4754" s="1">
        <v>11768</v>
      </c>
      <c r="L4754" s="1" t="s">
        <v>3828</v>
      </c>
      <c r="N4754" s="1" t="s">
        <v>3829</v>
      </c>
      <c r="P4754" s="1" t="s">
        <v>4716</v>
      </c>
      <c r="Q4754" s="3">
        <v>0</v>
      </c>
      <c r="S4754" s="23" t="s">
        <v>5949</v>
      </c>
      <c r="W4754" s="45" t="str">
        <f>HYPERLINK("http://ictvonline.org/taxonomy/p/taxonomy-history?taxnode_id=201853557","ICTVonline=201853557")</f>
        <v>ICTVonline=201853557</v>
      </c>
      <c r="AA4754" s="1">
        <v>201850000</v>
      </c>
      <c r="AB4754" s="1">
        <v>34</v>
      </c>
    </row>
    <row r="4755" spans="1:28" x14ac:dyDescent="0.15">
      <c r="A4755" s="1">
        <v>11770</v>
      </c>
      <c r="L4755" s="1" t="s">
        <v>3828</v>
      </c>
      <c r="N4755" s="1" t="s">
        <v>3829</v>
      </c>
      <c r="P4755" s="1" t="s">
        <v>4717</v>
      </c>
      <c r="Q4755" s="3">
        <v>0</v>
      </c>
      <c r="S4755" s="23" t="s">
        <v>5949</v>
      </c>
      <c r="W4755" s="45" t="str">
        <f>HYPERLINK("http://ictvonline.org/taxonomy/p/taxonomy-history?taxnode_id=201853558","ICTVonline=201853558")</f>
        <v>ICTVonline=201853558</v>
      </c>
      <c r="AA4755" s="1">
        <v>201850000</v>
      </c>
      <c r="AB4755" s="1">
        <v>34</v>
      </c>
    </row>
    <row r="4756" spans="1:28" x14ac:dyDescent="0.15">
      <c r="A4756" s="1">
        <v>11772</v>
      </c>
      <c r="L4756" s="1" t="s">
        <v>3828</v>
      </c>
      <c r="N4756" s="1" t="s">
        <v>3829</v>
      </c>
      <c r="P4756" s="1" t="s">
        <v>4718</v>
      </c>
      <c r="Q4756" s="3">
        <v>0</v>
      </c>
      <c r="S4756" s="23" t="s">
        <v>5949</v>
      </c>
      <c r="W4756" s="45" t="str">
        <f>HYPERLINK("http://ictvonline.org/taxonomy/p/taxonomy-history?taxnode_id=201853559","ICTVonline=201853559")</f>
        <v>ICTVonline=201853559</v>
      </c>
      <c r="AA4756" s="1">
        <v>201850000</v>
      </c>
      <c r="AB4756" s="1">
        <v>34</v>
      </c>
    </row>
    <row r="4757" spans="1:28" x14ac:dyDescent="0.15">
      <c r="A4757" s="1">
        <v>11774</v>
      </c>
      <c r="L4757" s="1" t="s">
        <v>3828</v>
      </c>
      <c r="N4757" s="1" t="s">
        <v>3829</v>
      </c>
      <c r="P4757" s="1" t="s">
        <v>4719</v>
      </c>
      <c r="Q4757" s="3">
        <v>0</v>
      </c>
      <c r="S4757" s="23" t="s">
        <v>5949</v>
      </c>
      <c r="W4757" s="45" t="str">
        <f>HYPERLINK("http://ictvonline.org/taxonomy/p/taxonomy-history?taxnode_id=201853560","ICTVonline=201853560")</f>
        <v>ICTVonline=201853560</v>
      </c>
      <c r="AA4757" s="1">
        <v>201850000</v>
      </c>
      <c r="AB4757" s="1">
        <v>34</v>
      </c>
    </row>
    <row r="4758" spans="1:28" x14ac:dyDescent="0.15">
      <c r="A4758" s="1">
        <v>11776</v>
      </c>
      <c r="L4758" s="1" t="s">
        <v>3828</v>
      </c>
      <c r="N4758" s="1" t="s">
        <v>3829</v>
      </c>
      <c r="P4758" s="1" t="s">
        <v>4720</v>
      </c>
      <c r="Q4758" s="3">
        <v>0</v>
      </c>
      <c r="S4758" s="23" t="s">
        <v>5949</v>
      </c>
      <c r="W4758" s="45" t="str">
        <f>HYPERLINK("http://ictvonline.org/taxonomy/p/taxonomy-history?taxnode_id=201853561","ICTVonline=201853561")</f>
        <v>ICTVonline=201853561</v>
      </c>
      <c r="AA4758" s="1">
        <v>201850000</v>
      </c>
      <c r="AB4758" s="1">
        <v>34</v>
      </c>
    </row>
    <row r="4759" spans="1:28" x14ac:dyDescent="0.15">
      <c r="A4759" s="1">
        <v>11778</v>
      </c>
      <c r="L4759" s="1" t="s">
        <v>3828</v>
      </c>
      <c r="N4759" s="1" t="s">
        <v>3829</v>
      </c>
      <c r="P4759" s="1" t="s">
        <v>4721</v>
      </c>
      <c r="Q4759" s="3">
        <v>0</v>
      </c>
      <c r="S4759" s="23" t="s">
        <v>5949</v>
      </c>
      <c r="W4759" s="45" t="str">
        <f>HYPERLINK("http://ictvonline.org/taxonomy/p/taxonomy-history?taxnode_id=201853562","ICTVonline=201853562")</f>
        <v>ICTVonline=201853562</v>
      </c>
      <c r="AA4759" s="1">
        <v>201850000</v>
      </c>
      <c r="AB4759" s="1">
        <v>34</v>
      </c>
    </row>
    <row r="4760" spans="1:28" x14ac:dyDescent="0.15">
      <c r="A4760" s="1">
        <v>11780</v>
      </c>
      <c r="L4760" s="1" t="s">
        <v>3828</v>
      </c>
      <c r="N4760" s="1" t="s">
        <v>3829</v>
      </c>
      <c r="P4760" s="1" t="s">
        <v>4722</v>
      </c>
      <c r="Q4760" s="3">
        <v>0</v>
      </c>
      <c r="S4760" s="23" t="s">
        <v>5949</v>
      </c>
      <c r="W4760" s="45" t="str">
        <f>HYPERLINK("http://ictvonline.org/taxonomy/p/taxonomy-history?taxnode_id=201853563","ICTVonline=201853563")</f>
        <v>ICTVonline=201853563</v>
      </c>
      <c r="AA4760" s="1">
        <v>201850000</v>
      </c>
      <c r="AB4760" s="1">
        <v>34</v>
      </c>
    </row>
    <row r="4761" spans="1:28" x14ac:dyDescent="0.15">
      <c r="A4761" s="1">
        <v>11782</v>
      </c>
      <c r="L4761" s="1" t="s">
        <v>3828</v>
      </c>
      <c r="N4761" s="1" t="s">
        <v>3829</v>
      </c>
      <c r="P4761" s="1" t="s">
        <v>4723</v>
      </c>
      <c r="Q4761" s="3">
        <v>0</v>
      </c>
      <c r="S4761" s="23" t="s">
        <v>5949</v>
      </c>
      <c r="W4761" s="45" t="str">
        <f>HYPERLINK("http://ictvonline.org/taxonomy/p/taxonomy-history?taxnode_id=201853564","ICTVonline=201853564")</f>
        <v>ICTVonline=201853564</v>
      </c>
      <c r="AA4761" s="1">
        <v>201850000</v>
      </c>
      <c r="AB4761" s="1">
        <v>34</v>
      </c>
    </row>
    <row r="4762" spans="1:28" x14ac:dyDescent="0.15">
      <c r="A4762" s="1">
        <v>11784</v>
      </c>
      <c r="L4762" s="1" t="s">
        <v>3828</v>
      </c>
      <c r="N4762" s="1" t="s">
        <v>3829</v>
      </c>
      <c r="P4762" s="1" t="s">
        <v>4724</v>
      </c>
      <c r="Q4762" s="3">
        <v>0</v>
      </c>
      <c r="S4762" s="23" t="s">
        <v>5949</v>
      </c>
      <c r="W4762" s="45" t="str">
        <f>HYPERLINK("http://ictvonline.org/taxonomy/p/taxonomy-history?taxnode_id=201853565","ICTVonline=201853565")</f>
        <v>ICTVonline=201853565</v>
      </c>
      <c r="AA4762" s="1">
        <v>201850000</v>
      </c>
      <c r="AB4762" s="1">
        <v>34</v>
      </c>
    </row>
    <row r="4763" spans="1:28" x14ac:dyDescent="0.15">
      <c r="A4763" s="1">
        <v>11786</v>
      </c>
      <c r="L4763" s="1" t="s">
        <v>3828</v>
      </c>
      <c r="N4763" s="1" t="s">
        <v>3829</v>
      </c>
      <c r="P4763" s="1" t="s">
        <v>4725</v>
      </c>
      <c r="Q4763" s="3">
        <v>0</v>
      </c>
      <c r="S4763" s="23" t="s">
        <v>5949</v>
      </c>
      <c r="W4763" s="45" t="str">
        <f>HYPERLINK("http://ictvonline.org/taxonomy/p/taxonomy-history?taxnode_id=201853566","ICTVonline=201853566")</f>
        <v>ICTVonline=201853566</v>
      </c>
      <c r="AA4763" s="1">
        <v>201850000</v>
      </c>
      <c r="AB4763" s="1">
        <v>34</v>
      </c>
    </row>
    <row r="4764" spans="1:28" x14ac:dyDescent="0.15">
      <c r="A4764" s="1">
        <v>11788</v>
      </c>
      <c r="L4764" s="1" t="s">
        <v>3828</v>
      </c>
      <c r="N4764" s="1" t="s">
        <v>3829</v>
      </c>
      <c r="P4764" s="1" t="s">
        <v>4726</v>
      </c>
      <c r="Q4764" s="3">
        <v>0</v>
      </c>
      <c r="S4764" s="23" t="s">
        <v>5949</v>
      </c>
      <c r="W4764" s="45" t="str">
        <f>HYPERLINK("http://ictvonline.org/taxonomy/p/taxonomy-history?taxnode_id=201853567","ICTVonline=201853567")</f>
        <v>ICTVonline=201853567</v>
      </c>
      <c r="AA4764" s="1">
        <v>201850000</v>
      </c>
      <c r="AB4764" s="1">
        <v>34</v>
      </c>
    </row>
    <row r="4765" spans="1:28" x14ac:dyDescent="0.15">
      <c r="A4765" s="1">
        <v>11790</v>
      </c>
      <c r="L4765" s="1" t="s">
        <v>3828</v>
      </c>
      <c r="N4765" s="1" t="s">
        <v>3829</v>
      </c>
      <c r="P4765" s="1" t="s">
        <v>4727</v>
      </c>
      <c r="Q4765" s="3">
        <v>0</v>
      </c>
      <c r="S4765" s="23" t="s">
        <v>5949</v>
      </c>
      <c r="W4765" s="45" t="str">
        <f>HYPERLINK("http://ictvonline.org/taxonomy/p/taxonomy-history?taxnode_id=201853568","ICTVonline=201853568")</f>
        <v>ICTVonline=201853568</v>
      </c>
      <c r="AA4765" s="1">
        <v>201850000</v>
      </c>
      <c r="AB4765" s="1">
        <v>34</v>
      </c>
    </row>
    <row r="4766" spans="1:28" x14ac:dyDescent="0.15">
      <c r="A4766" s="1">
        <v>11792</v>
      </c>
      <c r="L4766" s="1" t="s">
        <v>3828</v>
      </c>
      <c r="N4766" s="1" t="s">
        <v>3829</v>
      </c>
      <c r="P4766" s="1" t="s">
        <v>4728</v>
      </c>
      <c r="Q4766" s="3">
        <v>0</v>
      </c>
      <c r="S4766" s="23" t="s">
        <v>5949</v>
      </c>
      <c r="W4766" s="45" t="str">
        <f>HYPERLINK("http://ictvonline.org/taxonomy/p/taxonomy-history?taxnode_id=201853569","ICTVonline=201853569")</f>
        <v>ICTVonline=201853569</v>
      </c>
      <c r="AA4766" s="1">
        <v>201850000</v>
      </c>
      <c r="AB4766" s="1">
        <v>34</v>
      </c>
    </row>
    <row r="4767" spans="1:28" x14ac:dyDescent="0.15">
      <c r="A4767" s="1">
        <v>11794</v>
      </c>
      <c r="L4767" s="1" t="s">
        <v>3828</v>
      </c>
      <c r="N4767" s="1" t="s">
        <v>3829</v>
      </c>
      <c r="P4767" s="1" t="s">
        <v>4729</v>
      </c>
      <c r="Q4767" s="3">
        <v>0</v>
      </c>
      <c r="S4767" s="23" t="s">
        <v>5949</v>
      </c>
      <c r="W4767" s="45" t="str">
        <f>HYPERLINK("http://ictvonline.org/taxonomy/p/taxonomy-history?taxnode_id=201853570","ICTVonline=201853570")</f>
        <v>ICTVonline=201853570</v>
      </c>
      <c r="AA4767" s="1">
        <v>201850000</v>
      </c>
      <c r="AB4767" s="1">
        <v>34</v>
      </c>
    </row>
    <row r="4768" spans="1:28" x14ac:dyDescent="0.15">
      <c r="A4768" s="1">
        <v>11796</v>
      </c>
      <c r="L4768" s="1" t="s">
        <v>3828</v>
      </c>
      <c r="N4768" s="1" t="s">
        <v>3829</v>
      </c>
      <c r="P4768" s="1" t="s">
        <v>4730</v>
      </c>
      <c r="Q4768" s="3">
        <v>0</v>
      </c>
      <c r="S4768" s="23" t="s">
        <v>5949</v>
      </c>
      <c r="W4768" s="45" t="str">
        <f>HYPERLINK("http://ictvonline.org/taxonomy/p/taxonomy-history?taxnode_id=201853571","ICTVonline=201853571")</f>
        <v>ICTVonline=201853571</v>
      </c>
      <c r="AA4768" s="1">
        <v>201850000</v>
      </c>
      <c r="AB4768" s="1">
        <v>34</v>
      </c>
    </row>
    <row r="4769" spans="1:28" x14ac:dyDescent="0.15">
      <c r="A4769" s="1">
        <v>11798</v>
      </c>
      <c r="L4769" s="1" t="s">
        <v>3828</v>
      </c>
      <c r="N4769" s="1" t="s">
        <v>3829</v>
      </c>
      <c r="P4769" s="1" t="s">
        <v>4731</v>
      </c>
      <c r="Q4769" s="3">
        <v>0</v>
      </c>
      <c r="S4769" s="23" t="s">
        <v>5949</v>
      </c>
      <c r="W4769" s="45" t="str">
        <f>HYPERLINK("http://ictvonline.org/taxonomy/p/taxonomy-history?taxnode_id=201853572","ICTVonline=201853572")</f>
        <v>ICTVonline=201853572</v>
      </c>
      <c r="AA4769" s="1">
        <v>201850000</v>
      </c>
      <c r="AB4769" s="1">
        <v>34</v>
      </c>
    </row>
    <row r="4770" spans="1:28" x14ac:dyDescent="0.15">
      <c r="A4770" s="1">
        <v>11800</v>
      </c>
      <c r="L4770" s="1" t="s">
        <v>3828</v>
      </c>
      <c r="N4770" s="1" t="s">
        <v>3829</v>
      </c>
      <c r="P4770" s="1" t="s">
        <v>4732</v>
      </c>
      <c r="Q4770" s="3">
        <v>0</v>
      </c>
      <c r="S4770" s="23" t="s">
        <v>5949</v>
      </c>
      <c r="W4770" s="45" t="str">
        <f>HYPERLINK("http://ictvonline.org/taxonomy/p/taxonomy-history?taxnode_id=201853573","ICTVonline=201853573")</f>
        <v>ICTVonline=201853573</v>
      </c>
      <c r="AA4770" s="1">
        <v>201850000</v>
      </c>
      <c r="AB4770" s="1">
        <v>34</v>
      </c>
    </row>
    <row r="4771" spans="1:28" x14ac:dyDescent="0.15">
      <c r="A4771" s="1">
        <v>11802</v>
      </c>
      <c r="L4771" s="1" t="s">
        <v>3828</v>
      </c>
      <c r="N4771" s="1" t="s">
        <v>3829</v>
      </c>
      <c r="P4771" s="1" t="s">
        <v>4733</v>
      </c>
      <c r="Q4771" s="3">
        <v>0</v>
      </c>
      <c r="S4771" s="23" t="s">
        <v>5949</v>
      </c>
      <c r="W4771" s="45" t="str">
        <f>HYPERLINK("http://ictvonline.org/taxonomy/p/taxonomy-history?taxnode_id=201853574","ICTVonline=201853574")</f>
        <v>ICTVonline=201853574</v>
      </c>
      <c r="AA4771" s="1">
        <v>201850000</v>
      </c>
      <c r="AB4771" s="1">
        <v>34</v>
      </c>
    </row>
    <row r="4772" spans="1:28" x14ac:dyDescent="0.15">
      <c r="A4772" s="1">
        <v>11804</v>
      </c>
      <c r="L4772" s="1" t="s">
        <v>3828</v>
      </c>
      <c r="N4772" s="1" t="s">
        <v>3829</v>
      </c>
      <c r="P4772" s="1" t="s">
        <v>4734</v>
      </c>
      <c r="Q4772" s="3">
        <v>0</v>
      </c>
      <c r="S4772" s="23" t="s">
        <v>5949</v>
      </c>
      <c r="W4772" s="45" t="str">
        <f>HYPERLINK("http://ictvonline.org/taxonomy/p/taxonomy-history?taxnode_id=201853575","ICTVonline=201853575")</f>
        <v>ICTVonline=201853575</v>
      </c>
      <c r="AA4772" s="1">
        <v>201850000</v>
      </c>
      <c r="AB4772" s="1">
        <v>34</v>
      </c>
    </row>
    <row r="4773" spans="1:28" x14ac:dyDescent="0.15">
      <c r="A4773" s="1">
        <v>11806</v>
      </c>
      <c r="L4773" s="1" t="s">
        <v>3828</v>
      </c>
      <c r="N4773" s="1" t="s">
        <v>3829</v>
      </c>
      <c r="P4773" s="1" t="s">
        <v>4735</v>
      </c>
      <c r="Q4773" s="3">
        <v>0</v>
      </c>
      <c r="S4773" s="23" t="s">
        <v>5949</v>
      </c>
      <c r="W4773" s="45" t="str">
        <f>HYPERLINK("http://ictvonline.org/taxonomy/p/taxonomy-history?taxnode_id=201853576","ICTVonline=201853576")</f>
        <v>ICTVonline=201853576</v>
      </c>
      <c r="AA4773" s="1">
        <v>201850000</v>
      </c>
      <c r="AB4773" s="1">
        <v>34</v>
      </c>
    </row>
    <row r="4774" spans="1:28" x14ac:dyDescent="0.15">
      <c r="A4774" s="1">
        <v>11808</v>
      </c>
      <c r="L4774" s="1" t="s">
        <v>3828</v>
      </c>
      <c r="N4774" s="1" t="s">
        <v>3829</v>
      </c>
      <c r="P4774" s="1" t="s">
        <v>4736</v>
      </c>
      <c r="Q4774" s="3">
        <v>0</v>
      </c>
      <c r="S4774" s="23" t="s">
        <v>5949</v>
      </c>
      <c r="W4774" s="45" t="str">
        <f>HYPERLINK("http://ictvonline.org/taxonomy/p/taxonomy-history?taxnode_id=201853577","ICTVonline=201853577")</f>
        <v>ICTVonline=201853577</v>
      </c>
      <c r="AA4774" s="1">
        <v>201850000</v>
      </c>
      <c r="AB4774" s="1">
        <v>34</v>
      </c>
    </row>
    <row r="4775" spans="1:28" x14ac:dyDescent="0.15">
      <c r="A4775" s="1">
        <v>11810</v>
      </c>
      <c r="L4775" s="1" t="s">
        <v>3828</v>
      </c>
      <c r="N4775" s="1" t="s">
        <v>3829</v>
      </c>
      <c r="P4775" s="1" t="s">
        <v>4737</v>
      </c>
      <c r="Q4775" s="3">
        <v>0</v>
      </c>
      <c r="S4775" s="23" t="s">
        <v>5949</v>
      </c>
      <c r="W4775" s="45" t="str">
        <f>HYPERLINK("http://ictvonline.org/taxonomy/p/taxonomy-history?taxnode_id=201853578","ICTVonline=201853578")</f>
        <v>ICTVonline=201853578</v>
      </c>
      <c r="AA4775" s="1">
        <v>201850000</v>
      </c>
      <c r="AB4775" s="1">
        <v>34</v>
      </c>
    </row>
    <row r="4776" spans="1:28" x14ac:dyDescent="0.15">
      <c r="A4776" s="1">
        <v>11812</v>
      </c>
      <c r="L4776" s="1" t="s">
        <v>3828</v>
      </c>
      <c r="N4776" s="1" t="s">
        <v>3829</v>
      </c>
      <c r="P4776" s="1" t="s">
        <v>4738</v>
      </c>
      <c r="Q4776" s="3">
        <v>0</v>
      </c>
      <c r="S4776" s="23" t="s">
        <v>5949</v>
      </c>
      <c r="W4776" s="45" t="str">
        <f>HYPERLINK("http://ictvonline.org/taxonomy/p/taxonomy-history?taxnode_id=201853579","ICTVonline=201853579")</f>
        <v>ICTVonline=201853579</v>
      </c>
      <c r="AA4776" s="1">
        <v>201850000</v>
      </c>
      <c r="AB4776" s="1">
        <v>34</v>
      </c>
    </row>
    <row r="4777" spans="1:28" x14ac:dyDescent="0.15">
      <c r="A4777" s="1">
        <v>11814</v>
      </c>
      <c r="L4777" s="1" t="s">
        <v>3828</v>
      </c>
      <c r="N4777" s="1" t="s">
        <v>3829</v>
      </c>
      <c r="P4777" s="1" t="s">
        <v>4739</v>
      </c>
      <c r="Q4777" s="3">
        <v>0</v>
      </c>
      <c r="S4777" s="23" t="s">
        <v>5949</v>
      </c>
      <c r="W4777" s="45" t="str">
        <f>HYPERLINK("http://ictvonline.org/taxonomy/p/taxonomy-history?taxnode_id=201853580","ICTVonline=201853580")</f>
        <v>ICTVonline=201853580</v>
      </c>
      <c r="AA4777" s="1">
        <v>201850000</v>
      </c>
      <c r="AB4777" s="1">
        <v>34</v>
      </c>
    </row>
    <row r="4778" spans="1:28" x14ac:dyDescent="0.15">
      <c r="A4778" s="1">
        <v>11816</v>
      </c>
      <c r="L4778" s="1" t="s">
        <v>3828</v>
      </c>
      <c r="N4778" s="1" t="s">
        <v>3829</v>
      </c>
      <c r="P4778" s="1" t="s">
        <v>4740</v>
      </c>
      <c r="Q4778" s="3">
        <v>0</v>
      </c>
      <c r="S4778" s="23" t="s">
        <v>5949</v>
      </c>
      <c r="W4778" s="45" t="str">
        <f>HYPERLINK("http://ictvonline.org/taxonomy/p/taxonomy-history?taxnode_id=201853581","ICTVonline=201853581")</f>
        <v>ICTVonline=201853581</v>
      </c>
      <c r="AA4778" s="1">
        <v>201850000</v>
      </c>
      <c r="AB4778" s="1">
        <v>34</v>
      </c>
    </row>
    <row r="4779" spans="1:28" x14ac:dyDescent="0.15">
      <c r="A4779" s="1">
        <v>11818</v>
      </c>
      <c r="L4779" s="1" t="s">
        <v>3828</v>
      </c>
      <c r="N4779" s="1" t="s">
        <v>3829</v>
      </c>
      <c r="P4779" s="1" t="s">
        <v>4741</v>
      </c>
      <c r="Q4779" s="3">
        <v>0</v>
      </c>
      <c r="S4779" s="23" t="s">
        <v>5949</v>
      </c>
      <c r="W4779" s="45" t="str">
        <f>HYPERLINK("http://ictvonline.org/taxonomy/p/taxonomy-history?taxnode_id=201853582","ICTVonline=201853582")</f>
        <v>ICTVonline=201853582</v>
      </c>
      <c r="AA4779" s="1">
        <v>201850000</v>
      </c>
      <c r="AB4779" s="1">
        <v>34</v>
      </c>
    </row>
    <row r="4780" spans="1:28" x14ac:dyDescent="0.15">
      <c r="A4780" s="1">
        <v>11820</v>
      </c>
      <c r="L4780" s="1" t="s">
        <v>3828</v>
      </c>
      <c r="N4780" s="1" t="s">
        <v>3829</v>
      </c>
      <c r="P4780" s="1" t="s">
        <v>4742</v>
      </c>
      <c r="Q4780" s="3">
        <v>0</v>
      </c>
      <c r="S4780" s="23" t="s">
        <v>5949</v>
      </c>
      <c r="W4780" s="45" t="str">
        <f>HYPERLINK("http://ictvonline.org/taxonomy/p/taxonomy-history?taxnode_id=201853583","ICTVonline=201853583")</f>
        <v>ICTVonline=201853583</v>
      </c>
      <c r="AA4780" s="1">
        <v>201850000</v>
      </c>
      <c r="AB4780" s="1">
        <v>34</v>
      </c>
    </row>
    <row r="4781" spans="1:28" x14ac:dyDescent="0.15">
      <c r="A4781" s="1">
        <v>11822</v>
      </c>
      <c r="L4781" s="1" t="s">
        <v>3828</v>
      </c>
      <c r="N4781" s="1" t="s">
        <v>3829</v>
      </c>
      <c r="P4781" s="1" t="s">
        <v>4743</v>
      </c>
      <c r="Q4781" s="3">
        <v>0</v>
      </c>
      <c r="S4781" s="23" t="s">
        <v>5949</v>
      </c>
      <c r="W4781" s="45" t="str">
        <f>HYPERLINK("http://ictvonline.org/taxonomy/p/taxonomy-history?taxnode_id=201853584","ICTVonline=201853584")</f>
        <v>ICTVonline=201853584</v>
      </c>
      <c r="AA4781" s="1">
        <v>201850000</v>
      </c>
      <c r="AB4781" s="1">
        <v>34</v>
      </c>
    </row>
    <row r="4782" spans="1:28" x14ac:dyDescent="0.15">
      <c r="A4782" s="1">
        <v>11824</v>
      </c>
      <c r="L4782" s="1" t="s">
        <v>3828</v>
      </c>
      <c r="N4782" s="1" t="s">
        <v>3829</v>
      </c>
      <c r="P4782" s="1" t="s">
        <v>4744</v>
      </c>
      <c r="Q4782" s="3">
        <v>0</v>
      </c>
      <c r="S4782" s="23" t="s">
        <v>5949</v>
      </c>
      <c r="W4782" s="45" t="str">
        <f>HYPERLINK("http://ictvonline.org/taxonomy/p/taxonomy-history?taxnode_id=201853585","ICTVonline=201853585")</f>
        <v>ICTVonline=201853585</v>
      </c>
      <c r="AA4782" s="1">
        <v>201850000</v>
      </c>
      <c r="AB4782" s="1">
        <v>34</v>
      </c>
    </row>
    <row r="4783" spans="1:28" x14ac:dyDescent="0.15">
      <c r="A4783" s="1">
        <v>11826</v>
      </c>
      <c r="L4783" s="1" t="s">
        <v>3828</v>
      </c>
      <c r="N4783" s="1" t="s">
        <v>3829</v>
      </c>
      <c r="P4783" s="1" t="s">
        <v>4745</v>
      </c>
      <c r="Q4783" s="3">
        <v>0</v>
      </c>
      <c r="S4783" s="23" t="s">
        <v>5949</v>
      </c>
      <c r="W4783" s="45" t="str">
        <f>HYPERLINK("http://ictvonline.org/taxonomy/p/taxonomy-history?taxnode_id=201853586","ICTVonline=201853586")</f>
        <v>ICTVonline=201853586</v>
      </c>
      <c r="AA4783" s="1">
        <v>201850000</v>
      </c>
      <c r="AB4783" s="1">
        <v>34</v>
      </c>
    </row>
    <row r="4784" spans="1:28" x14ac:dyDescent="0.15">
      <c r="A4784" s="1">
        <v>11828</v>
      </c>
      <c r="L4784" s="1" t="s">
        <v>3828</v>
      </c>
      <c r="N4784" s="1" t="s">
        <v>3829</v>
      </c>
      <c r="P4784" s="1" t="s">
        <v>4746</v>
      </c>
      <c r="Q4784" s="3">
        <v>0</v>
      </c>
      <c r="S4784" s="23" t="s">
        <v>5949</v>
      </c>
      <c r="W4784" s="45" t="str">
        <f>HYPERLINK("http://ictvonline.org/taxonomy/p/taxonomy-history?taxnode_id=201853587","ICTVonline=201853587")</f>
        <v>ICTVonline=201853587</v>
      </c>
      <c r="AA4784" s="1">
        <v>201850000</v>
      </c>
      <c r="AB4784" s="1">
        <v>34</v>
      </c>
    </row>
    <row r="4785" spans="1:28" x14ac:dyDescent="0.15">
      <c r="A4785" s="1">
        <v>11830</v>
      </c>
      <c r="L4785" s="1" t="s">
        <v>3828</v>
      </c>
      <c r="N4785" s="1" t="s">
        <v>3829</v>
      </c>
      <c r="P4785" s="1" t="s">
        <v>3830</v>
      </c>
      <c r="Q4785" s="3">
        <v>1</v>
      </c>
      <c r="S4785" s="23" t="s">
        <v>5949</v>
      </c>
      <c r="W4785" s="45" t="str">
        <f>HYPERLINK("http://ictvonline.org/taxonomy/p/taxonomy-history?taxnode_id=201853588","ICTVonline=201853588")</f>
        <v>ICTVonline=201853588</v>
      </c>
      <c r="AA4785" s="1">
        <v>201850000</v>
      </c>
      <c r="AB4785" s="1">
        <v>34</v>
      </c>
    </row>
    <row r="4786" spans="1:28" x14ac:dyDescent="0.15">
      <c r="A4786" s="1">
        <v>11832</v>
      </c>
      <c r="L4786" s="1" t="s">
        <v>3828</v>
      </c>
      <c r="N4786" s="1" t="s">
        <v>3829</v>
      </c>
      <c r="P4786" s="1" t="s">
        <v>4747</v>
      </c>
      <c r="Q4786" s="3">
        <v>0</v>
      </c>
      <c r="S4786" s="23" t="s">
        <v>5949</v>
      </c>
      <c r="W4786" s="45" t="str">
        <f>HYPERLINK("http://ictvonline.org/taxonomy/p/taxonomy-history?taxnode_id=201853589","ICTVonline=201853589")</f>
        <v>ICTVonline=201853589</v>
      </c>
      <c r="AA4786" s="1">
        <v>201850000</v>
      </c>
      <c r="AB4786" s="1">
        <v>34</v>
      </c>
    </row>
    <row r="4787" spans="1:28" x14ac:dyDescent="0.15">
      <c r="A4787" s="1">
        <v>11834</v>
      </c>
      <c r="L4787" s="1" t="s">
        <v>3828</v>
      </c>
      <c r="N4787" s="1" t="s">
        <v>3829</v>
      </c>
      <c r="P4787" s="1" t="s">
        <v>4748</v>
      </c>
      <c r="Q4787" s="3">
        <v>0</v>
      </c>
      <c r="S4787" s="23" t="s">
        <v>5949</v>
      </c>
      <c r="W4787" s="45" t="str">
        <f>HYPERLINK("http://ictvonline.org/taxonomy/p/taxonomy-history?taxnode_id=201853590","ICTVonline=201853590")</f>
        <v>ICTVonline=201853590</v>
      </c>
      <c r="AA4787" s="1">
        <v>201850000</v>
      </c>
      <c r="AB4787" s="1">
        <v>34</v>
      </c>
    </row>
    <row r="4788" spans="1:28" x14ac:dyDescent="0.15">
      <c r="A4788" s="1">
        <v>11836</v>
      </c>
      <c r="L4788" s="1" t="s">
        <v>3828</v>
      </c>
      <c r="N4788" s="1" t="s">
        <v>3829</v>
      </c>
      <c r="P4788" s="1" t="s">
        <v>4749</v>
      </c>
      <c r="Q4788" s="3">
        <v>0</v>
      </c>
      <c r="S4788" s="23" t="s">
        <v>5949</v>
      </c>
      <c r="W4788" s="45" t="str">
        <f>HYPERLINK("http://ictvonline.org/taxonomy/p/taxonomy-history?taxnode_id=201853591","ICTVonline=201853591")</f>
        <v>ICTVonline=201853591</v>
      </c>
      <c r="AA4788" s="1">
        <v>201850000</v>
      </c>
      <c r="AB4788" s="1">
        <v>34</v>
      </c>
    </row>
    <row r="4789" spans="1:28" x14ac:dyDescent="0.15">
      <c r="A4789" s="1">
        <v>11838</v>
      </c>
      <c r="L4789" s="1" t="s">
        <v>3828</v>
      </c>
      <c r="N4789" s="1" t="s">
        <v>3829</v>
      </c>
      <c r="P4789" s="1" t="s">
        <v>4750</v>
      </c>
      <c r="Q4789" s="3">
        <v>0</v>
      </c>
      <c r="S4789" s="23" t="s">
        <v>5949</v>
      </c>
      <c r="W4789" s="45" t="str">
        <f>HYPERLINK("http://ictvonline.org/taxonomy/p/taxonomy-history?taxnode_id=201853592","ICTVonline=201853592")</f>
        <v>ICTVonline=201853592</v>
      </c>
      <c r="AA4789" s="1">
        <v>201850000</v>
      </c>
      <c r="AB4789" s="1">
        <v>34</v>
      </c>
    </row>
    <row r="4790" spans="1:28" x14ac:dyDescent="0.15">
      <c r="A4790" s="1">
        <v>11840</v>
      </c>
      <c r="L4790" s="1" t="s">
        <v>3828</v>
      </c>
      <c r="N4790" s="1" t="s">
        <v>3829</v>
      </c>
      <c r="P4790" s="1" t="s">
        <v>4751</v>
      </c>
      <c r="Q4790" s="3">
        <v>0</v>
      </c>
      <c r="S4790" s="23" t="s">
        <v>5949</v>
      </c>
      <c r="W4790" s="45" t="str">
        <f>HYPERLINK("http://ictvonline.org/taxonomy/p/taxonomy-history?taxnode_id=201853593","ICTVonline=201853593")</f>
        <v>ICTVonline=201853593</v>
      </c>
      <c r="AA4790" s="1">
        <v>201850000</v>
      </c>
      <c r="AB4790" s="1">
        <v>34</v>
      </c>
    </row>
    <row r="4791" spans="1:28" x14ac:dyDescent="0.15">
      <c r="A4791" s="1">
        <v>11842</v>
      </c>
      <c r="L4791" s="1" t="s">
        <v>3828</v>
      </c>
      <c r="N4791" s="1" t="s">
        <v>3829</v>
      </c>
      <c r="P4791" s="1" t="s">
        <v>4752</v>
      </c>
      <c r="Q4791" s="3">
        <v>0</v>
      </c>
      <c r="S4791" s="23" t="s">
        <v>5949</v>
      </c>
      <c r="W4791" s="45" t="str">
        <f>HYPERLINK("http://ictvonline.org/taxonomy/p/taxonomy-history?taxnode_id=201853594","ICTVonline=201853594")</f>
        <v>ICTVonline=201853594</v>
      </c>
      <c r="AA4791" s="1">
        <v>201850000</v>
      </c>
      <c r="AB4791" s="1">
        <v>34</v>
      </c>
    </row>
    <row r="4792" spans="1:28" x14ac:dyDescent="0.15">
      <c r="A4792" s="1">
        <v>11844</v>
      </c>
      <c r="L4792" s="1" t="s">
        <v>3828</v>
      </c>
      <c r="N4792" s="1" t="s">
        <v>3829</v>
      </c>
      <c r="P4792" s="1" t="s">
        <v>4753</v>
      </c>
      <c r="Q4792" s="3">
        <v>0</v>
      </c>
      <c r="S4792" s="23" t="s">
        <v>5949</v>
      </c>
      <c r="W4792" s="45" t="str">
        <f>HYPERLINK("http://ictvonline.org/taxonomy/p/taxonomy-history?taxnode_id=201853595","ICTVonline=201853595")</f>
        <v>ICTVonline=201853595</v>
      </c>
      <c r="AA4792" s="1">
        <v>201850000</v>
      </c>
      <c r="AB4792" s="1">
        <v>34</v>
      </c>
    </row>
    <row r="4793" spans="1:28" x14ac:dyDescent="0.15">
      <c r="A4793" s="1">
        <v>11848</v>
      </c>
      <c r="L4793" s="1" t="s">
        <v>3828</v>
      </c>
      <c r="N4793" s="1" t="s">
        <v>4754</v>
      </c>
      <c r="P4793" s="1" t="s">
        <v>4755</v>
      </c>
      <c r="Q4793" s="3">
        <v>1</v>
      </c>
      <c r="S4793" s="23" t="s">
        <v>5949</v>
      </c>
      <c r="W4793" s="45" t="str">
        <f>HYPERLINK("http://ictvonline.org/taxonomy/p/taxonomy-history?taxnode_id=201853597","ICTVonline=201853597")</f>
        <v>ICTVonline=201853597</v>
      </c>
      <c r="AA4793" s="1">
        <v>201850000</v>
      </c>
      <c r="AB4793" s="1">
        <v>34</v>
      </c>
    </row>
    <row r="4794" spans="1:28" x14ac:dyDescent="0.15">
      <c r="A4794" s="1">
        <v>11852</v>
      </c>
      <c r="L4794" s="1" t="s">
        <v>3828</v>
      </c>
      <c r="N4794" s="1" t="s">
        <v>4756</v>
      </c>
      <c r="P4794" s="1" t="s">
        <v>4757</v>
      </c>
      <c r="Q4794" s="3">
        <v>0</v>
      </c>
      <c r="S4794" s="23" t="s">
        <v>5949</v>
      </c>
      <c r="W4794" s="45" t="str">
        <f>HYPERLINK("http://ictvonline.org/taxonomy/p/taxonomy-history?taxnode_id=201853599","ICTVonline=201853599")</f>
        <v>ICTVonline=201853599</v>
      </c>
      <c r="AA4794" s="1">
        <v>201850000</v>
      </c>
      <c r="AB4794" s="1">
        <v>34</v>
      </c>
    </row>
    <row r="4795" spans="1:28" x14ac:dyDescent="0.15">
      <c r="A4795" s="1">
        <v>11854</v>
      </c>
      <c r="L4795" s="1" t="s">
        <v>3828</v>
      </c>
      <c r="N4795" s="1" t="s">
        <v>4756</v>
      </c>
      <c r="P4795" s="1" t="s">
        <v>4758</v>
      </c>
      <c r="Q4795" s="3">
        <v>0</v>
      </c>
      <c r="S4795" s="23" t="s">
        <v>5949</v>
      </c>
      <c r="W4795" s="45" t="str">
        <f>HYPERLINK("http://ictvonline.org/taxonomy/p/taxonomy-history?taxnode_id=201853600","ICTVonline=201853600")</f>
        <v>ICTVonline=201853600</v>
      </c>
      <c r="AA4795" s="1">
        <v>201850000</v>
      </c>
      <c r="AB4795" s="1">
        <v>34</v>
      </c>
    </row>
    <row r="4796" spans="1:28" x14ac:dyDescent="0.15">
      <c r="A4796" s="1">
        <v>11856</v>
      </c>
      <c r="L4796" s="1" t="s">
        <v>3828</v>
      </c>
      <c r="N4796" s="1" t="s">
        <v>4756</v>
      </c>
      <c r="P4796" s="1" t="s">
        <v>4759</v>
      </c>
      <c r="Q4796" s="3">
        <v>0</v>
      </c>
      <c r="S4796" s="23" t="s">
        <v>5949</v>
      </c>
      <c r="W4796" s="45" t="str">
        <f>HYPERLINK("http://ictvonline.org/taxonomy/p/taxonomy-history?taxnode_id=201853601","ICTVonline=201853601")</f>
        <v>ICTVonline=201853601</v>
      </c>
      <c r="AA4796" s="1">
        <v>201850000</v>
      </c>
      <c r="AB4796" s="1">
        <v>34</v>
      </c>
    </row>
    <row r="4797" spans="1:28" x14ac:dyDescent="0.15">
      <c r="A4797" s="1">
        <v>11858</v>
      </c>
      <c r="L4797" s="1" t="s">
        <v>3828</v>
      </c>
      <c r="N4797" s="1" t="s">
        <v>4756</v>
      </c>
      <c r="P4797" s="1" t="s">
        <v>4760</v>
      </c>
      <c r="Q4797" s="3">
        <v>0</v>
      </c>
      <c r="S4797" s="23" t="s">
        <v>5949</v>
      </c>
      <c r="W4797" s="45" t="str">
        <f>HYPERLINK("http://ictvonline.org/taxonomy/p/taxonomy-history?taxnode_id=201853602","ICTVonline=201853602")</f>
        <v>ICTVonline=201853602</v>
      </c>
      <c r="AA4797" s="1">
        <v>201850000</v>
      </c>
      <c r="AB4797" s="1">
        <v>34</v>
      </c>
    </row>
    <row r="4798" spans="1:28" x14ac:dyDescent="0.15">
      <c r="A4798" s="1">
        <v>11860</v>
      </c>
      <c r="L4798" s="1" t="s">
        <v>3828</v>
      </c>
      <c r="N4798" s="1" t="s">
        <v>4756</v>
      </c>
      <c r="P4798" s="1" t="s">
        <v>4761</v>
      </c>
      <c r="Q4798" s="3">
        <v>1</v>
      </c>
      <c r="S4798" s="23" t="s">
        <v>5949</v>
      </c>
      <c r="W4798" s="45" t="str">
        <f>HYPERLINK("http://ictvonline.org/taxonomy/p/taxonomy-history?taxnode_id=201853603","ICTVonline=201853603")</f>
        <v>ICTVonline=201853603</v>
      </c>
      <c r="AA4798" s="1">
        <v>201850000</v>
      </c>
      <c r="AB4798" s="1">
        <v>34</v>
      </c>
    </row>
    <row r="4799" spans="1:28" x14ac:dyDescent="0.15">
      <c r="A4799" s="1">
        <v>11864</v>
      </c>
      <c r="L4799" s="1" t="s">
        <v>3828</v>
      </c>
      <c r="N4799" s="1" t="s">
        <v>4762</v>
      </c>
      <c r="P4799" s="1" t="s">
        <v>4763</v>
      </c>
      <c r="Q4799" s="3">
        <v>0</v>
      </c>
      <c r="S4799" s="23" t="s">
        <v>5949</v>
      </c>
      <c r="W4799" s="45" t="str">
        <f>HYPERLINK("http://ictvonline.org/taxonomy/p/taxonomy-history?taxnode_id=201853605","ICTVonline=201853605")</f>
        <v>ICTVonline=201853605</v>
      </c>
      <c r="AA4799" s="1">
        <v>201850000</v>
      </c>
      <c r="AB4799" s="1">
        <v>34</v>
      </c>
    </row>
    <row r="4800" spans="1:28" x14ac:dyDescent="0.15">
      <c r="A4800" s="1">
        <v>11866</v>
      </c>
      <c r="L4800" s="1" t="s">
        <v>3828</v>
      </c>
      <c r="N4800" s="1" t="s">
        <v>4762</v>
      </c>
      <c r="P4800" s="1" t="s">
        <v>4764</v>
      </c>
      <c r="Q4800" s="3">
        <v>0</v>
      </c>
      <c r="S4800" s="23" t="s">
        <v>5949</v>
      </c>
      <c r="W4800" s="45" t="str">
        <f>HYPERLINK("http://ictvonline.org/taxonomy/p/taxonomy-history?taxnode_id=201853606","ICTVonline=201853606")</f>
        <v>ICTVonline=201853606</v>
      </c>
      <c r="AA4800" s="1">
        <v>201850000</v>
      </c>
      <c r="AB4800" s="1">
        <v>34</v>
      </c>
    </row>
    <row r="4801" spans="1:28" x14ac:dyDescent="0.15">
      <c r="A4801" s="1">
        <v>11868</v>
      </c>
      <c r="L4801" s="1" t="s">
        <v>3828</v>
      </c>
      <c r="N4801" s="1" t="s">
        <v>4762</v>
      </c>
      <c r="P4801" s="1" t="s">
        <v>4765</v>
      </c>
      <c r="Q4801" s="3">
        <v>0</v>
      </c>
      <c r="S4801" s="23" t="s">
        <v>5949</v>
      </c>
      <c r="W4801" s="45" t="str">
        <f>HYPERLINK("http://ictvonline.org/taxonomy/p/taxonomy-history?taxnode_id=201853607","ICTVonline=201853607")</f>
        <v>ICTVonline=201853607</v>
      </c>
      <c r="AA4801" s="1">
        <v>201850000</v>
      </c>
      <c r="AB4801" s="1">
        <v>34</v>
      </c>
    </row>
    <row r="4802" spans="1:28" x14ac:dyDescent="0.15">
      <c r="A4802" s="1">
        <v>11870</v>
      </c>
      <c r="L4802" s="1" t="s">
        <v>3828</v>
      </c>
      <c r="N4802" s="1" t="s">
        <v>4762</v>
      </c>
      <c r="P4802" s="1" t="s">
        <v>4766</v>
      </c>
      <c r="Q4802" s="3">
        <v>0</v>
      </c>
      <c r="S4802" s="23" t="s">
        <v>5949</v>
      </c>
      <c r="W4802" s="45" t="str">
        <f>HYPERLINK("http://ictvonline.org/taxonomy/p/taxonomy-history?taxnode_id=201853608","ICTVonline=201853608")</f>
        <v>ICTVonline=201853608</v>
      </c>
      <c r="AA4802" s="1">
        <v>201850000</v>
      </c>
      <c r="AB4802" s="1">
        <v>34</v>
      </c>
    </row>
    <row r="4803" spans="1:28" x14ac:dyDescent="0.15">
      <c r="A4803" s="1">
        <v>11872</v>
      </c>
      <c r="L4803" s="1" t="s">
        <v>3828</v>
      </c>
      <c r="N4803" s="1" t="s">
        <v>4762</v>
      </c>
      <c r="P4803" s="1" t="s">
        <v>4767</v>
      </c>
      <c r="Q4803" s="3">
        <v>1</v>
      </c>
      <c r="S4803" s="23" t="s">
        <v>5949</v>
      </c>
      <c r="W4803" s="45" t="str">
        <f>HYPERLINK("http://ictvonline.org/taxonomy/p/taxonomy-history?taxnode_id=201853609","ICTVonline=201853609")</f>
        <v>ICTVonline=201853609</v>
      </c>
      <c r="AA4803" s="1">
        <v>201850000</v>
      </c>
      <c r="AB4803" s="1">
        <v>34</v>
      </c>
    </row>
    <row r="4804" spans="1:28" x14ac:dyDescent="0.15">
      <c r="A4804" s="1">
        <v>11874</v>
      </c>
      <c r="L4804" s="1" t="s">
        <v>3828</v>
      </c>
      <c r="N4804" s="1" t="s">
        <v>4762</v>
      </c>
      <c r="P4804" s="1" t="s">
        <v>4768</v>
      </c>
      <c r="Q4804" s="3">
        <v>0</v>
      </c>
      <c r="S4804" s="23" t="s">
        <v>5949</v>
      </c>
      <c r="W4804" s="45" t="str">
        <f>HYPERLINK("http://ictvonline.org/taxonomy/p/taxonomy-history?taxnode_id=201853610","ICTVonline=201853610")</f>
        <v>ICTVonline=201853610</v>
      </c>
      <c r="AA4804" s="1">
        <v>201850000</v>
      </c>
      <c r="AB4804" s="1">
        <v>34</v>
      </c>
    </row>
    <row r="4805" spans="1:28" x14ac:dyDescent="0.15">
      <c r="A4805" s="1">
        <v>11876</v>
      </c>
      <c r="L4805" s="1" t="s">
        <v>3828</v>
      </c>
      <c r="N4805" s="1" t="s">
        <v>4762</v>
      </c>
      <c r="P4805" s="1" t="s">
        <v>4769</v>
      </c>
      <c r="Q4805" s="3">
        <v>0</v>
      </c>
      <c r="S4805" s="23" t="s">
        <v>5949</v>
      </c>
      <c r="W4805" s="45" t="str">
        <f>HYPERLINK("http://ictvonline.org/taxonomy/p/taxonomy-history?taxnode_id=201853611","ICTVonline=201853611")</f>
        <v>ICTVonline=201853611</v>
      </c>
      <c r="AA4805" s="1">
        <v>201850000</v>
      </c>
      <c r="AB4805" s="1">
        <v>34</v>
      </c>
    </row>
    <row r="4806" spans="1:28" x14ac:dyDescent="0.15">
      <c r="A4806" s="1">
        <v>11878</v>
      </c>
      <c r="L4806" s="1" t="s">
        <v>3828</v>
      </c>
      <c r="N4806" s="1" t="s">
        <v>4762</v>
      </c>
      <c r="P4806" s="1" t="s">
        <v>4770</v>
      </c>
      <c r="Q4806" s="3">
        <v>0</v>
      </c>
      <c r="S4806" s="23" t="s">
        <v>5949</v>
      </c>
      <c r="W4806" s="45" t="str">
        <f>HYPERLINK("http://ictvonline.org/taxonomy/p/taxonomy-history?taxnode_id=201853612","ICTVonline=201853612")</f>
        <v>ICTVonline=201853612</v>
      </c>
      <c r="AA4806" s="1">
        <v>201850000</v>
      </c>
      <c r="AB4806" s="1">
        <v>34</v>
      </c>
    </row>
    <row r="4807" spans="1:28" x14ac:dyDescent="0.15">
      <c r="A4807" s="1">
        <v>11880</v>
      </c>
      <c r="L4807" s="1" t="s">
        <v>3828</v>
      </c>
      <c r="N4807" s="1" t="s">
        <v>4762</v>
      </c>
      <c r="P4807" s="1" t="s">
        <v>4771</v>
      </c>
      <c r="Q4807" s="3">
        <v>0</v>
      </c>
      <c r="S4807" s="23" t="s">
        <v>5949</v>
      </c>
      <c r="W4807" s="45" t="str">
        <f>HYPERLINK("http://ictvonline.org/taxonomy/p/taxonomy-history?taxnode_id=201853613","ICTVonline=201853613")</f>
        <v>ICTVonline=201853613</v>
      </c>
      <c r="AA4807" s="1">
        <v>201850000</v>
      </c>
      <c r="AB4807" s="1">
        <v>34</v>
      </c>
    </row>
    <row r="4808" spans="1:28" x14ac:dyDescent="0.15">
      <c r="A4808" s="1">
        <v>11882</v>
      </c>
      <c r="L4808" s="1" t="s">
        <v>3828</v>
      </c>
      <c r="N4808" s="1" t="s">
        <v>4762</v>
      </c>
      <c r="P4808" s="1" t="s">
        <v>4772</v>
      </c>
      <c r="Q4808" s="3">
        <v>0</v>
      </c>
      <c r="S4808" s="23" t="s">
        <v>5949</v>
      </c>
      <c r="W4808" s="45" t="str">
        <f>HYPERLINK("http://ictvonline.org/taxonomy/p/taxonomy-history?taxnode_id=201853614","ICTVonline=201853614")</f>
        <v>ICTVonline=201853614</v>
      </c>
      <c r="AA4808" s="1">
        <v>201850000</v>
      </c>
      <c r="AB4808" s="1">
        <v>34</v>
      </c>
    </row>
    <row r="4809" spans="1:28" x14ac:dyDescent="0.15">
      <c r="A4809" s="1">
        <v>11884</v>
      </c>
      <c r="L4809" s="1" t="s">
        <v>3828</v>
      </c>
      <c r="N4809" s="1" t="s">
        <v>4762</v>
      </c>
      <c r="P4809" s="1" t="s">
        <v>4773</v>
      </c>
      <c r="Q4809" s="3">
        <v>0</v>
      </c>
      <c r="S4809" s="23" t="s">
        <v>5949</v>
      </c>
      <c r="W4809" s="45" t="str">
        <f>HYPERLINK("http://ictvonline.org/taxonomy/p/taxonomy-history?taxnode_id=201853615","ICTVonline=201853615")</f>
        <v>ICTVonline=201853615</v>
      </c>
      <c r="AA4809" s="1">
        <v>201850000</v>
      </c>
      <c r="AB4809" s="1">
        <v>34</v>
      </c>
    </row>
    <row r="4810" spans="1:28" x14ac:dyDescent="0.15">
      <c r="A4810" s="1">
        <v>11886</v>
      </c>
      <c r="L4810" s="1" t="s">
        <v>3828</v>
      </c>
      <c r="N4810" s="1" t="s">
        <v>4762</v>
      </c>
      <c r="P4810" s="1" t="s">
        <v>4774</v>
      </c>
      <c r="Q4810" s="3">
        <v>0</v>
      </c>
      <c r="S4810" s="23" t="s">
        <v>5949</v>
      </c>
      <c r="W4810" s="45" t="str">
        <f>HYPERLINK("http://ictvonline.org/taxonomy/p/taxonomy-history?taxnode_id=201853616","ICTVonline=201853616")</f>
        <v>ICTVonline=201853616</v>
      </c>
      <c r="AA4810" s="1">
        <v>201850000</v>
      </c>
      <c r="AB4810" s="1">
        <v>34</v>
      </c>
    </row>
    <row r="4811" spans="1:28" x14ac:dyDescent="0.15">
      <c r="A4811" s="1">
        <v>11888</v>
      </c>
      <c r="L4811" s="1" t="s">
        <v>3828</v>
      </c>
      <c r="N4811" s="1" t="s">
        <v>4762</v>
      </c>
      <c r="P4811" s="1" t="s">
        <v>4775</v>
      </c>
      <c r="Q4811" s="3">
        <v>0</v>
      </c>
      <c r="S4811" s="23" t="s">
        <v>5949</v>
      </c>
      <c r="W4811" s="45" t="str">
        <f>HYPERLINK("http://ictvonline.org/taxonomy/p/taxonomy-history?taxnode_id=201853617","ICTVonline=201853617")</f>
        <v>ICTVonline=201853617</v>
      </c>
      <c r="AA4811" s="1">
        <v>201850000</v>
      </c>
      <c r="AB4811" s="1">
        <v>34</v>
      </c>
    </row>
    <row r="4812" spans="1:28" x14ac:dyDescent="0.15">
      <c r="A4812" s="1">
        <v>11890</v>
      </c>
      <c r="L4812" s="1" t="s">
        <v>3828</v>
      </c>
      <c r="N4812" s="1" t="s">
        <v>4762</v>
      </c>
      <c r="P4812" s="1" t="s">
        <v>4776</v>
      </c>
      <c r="Q4812" s="3">
        <v>0</v>
      </c>
      <c r="S4812" s="23" t="s">
        <v>5949</v>
      </c>
      <c r="W4812" s="45" t="str">
        <f>HYPERLINK("http://ictvonline.org/taxonomy/p/taxonomy-history?taxnode_id=201853618","ICTVonline=201853618")</f>
        <v>ICTVonline=201853618</v>
      </c>
      <c r="AA4812" s="1">
        <v>201850000</v>
      </c>
      <c r="AB4812" s="1">
        <v>34</v>
      </c>
    </row>
    <row r="4813" spans="1:28" x14ac:dyDescent="0.15">
      <c r="A4813" s="1">
        <v>11892</v>
      </c>
      <c r="L4813" s="1" t="s">
        <v>3828</v>
      </c>
      <c r="N4813" s="1" t="s">
        <v>4762</v>
      </c>
      <c r="P4813" s="1" t="s">
        <v>4777</v>
      </c>
      <c r="Q4813" s="3">
        <v>0</v>
      </c>
      <c r="S4813" s="23" t="s">
        <v>5949</v>
      </c>
      <c r="W4813" s="45" t="str">
        <f>HYPERLINK("http://ictvonline.org/taxonomy/p/taxonomy-history?taxnode_id=201853619","ICTVonline=201853619")</f>
        <v>ICTVonline=201853619</v>
      </c>
      <c r="AA4813" s="1">
        <v>201850000</v>
      </c>
      <c r="AB4813" s="1">
        <v>34</v>
      </c>
    </row>
    <row r="4814" spans="1:28" x14ac:dyDescent="0.15">
      <c r="A4814" s="1">
        <v>11894</v>
      </c>
      <c r="L4814" s="1" t="s">
        <v>3828</v>
      </c>
      <c r="N4814" s="1" t="s">
        <v>4762</v>
      </c>
      <c r="P4814" s="1" t="s">
        <v>4778</v>
      </c>
      <c r="Q4814" s="3">
        <v>0</v>
      </c>
      <c r="S4814" s="23" t="s">
        <v>5949</v>
      </c>
      <c r="W4814" s="45" t="str">
        <f>HYPERLINK("http://ictvonline.org/taxonomy/p/taxonomy-history?taxnode_id=201853620","ICTVonline=201853620")</f>
        <v>ICTVonline=201853620</v>
      </c>
      <c r="AA4814" s="1">
        <v>201850000</v>
      </c>
      <c r="AB4814" s="1">
        <v>34</v>
      </c>
    </row>
    <row r="4815" spans="1:28" x14ac:dyDescent="0.15">
      <c r="A4815" s="1">
        <v>11898</v>
      </c>
      <c r="L4815" s="1" t="s">
        <v>3828</v>
      </c>
      <c r="N4815" s="1" t="s">
        <v>4779</v>
      </c>
      <c r="P4815" s="1" t="s">
        <v>4780</v>
      </c>
      <c r="Q4815" s="3">
        <v>1</v>
      </c>
      <c r="S4815" s="23" t="s">
        <v>5949</v>
      </c>
      <c r="W4815" s="45" t="str">
        <f>HYPERLINK("http://ictvonline.org/taxonomy/p/taxonomy-history?taxnode_id=201853622","ICTVonline=201853622")</f>
        <v>ICTVonline=201853622</v>
      </c>
      <c r="AA4815" s="1">
        <v>201850000</v>
      </c>
      <c r="AB4815" s="1">
        <v>34</v>
      </c>
    </row>
    <row r="4816" spans="1:28" x14ac:dyDescent="0.15">
      <c r="A4816" s="1">
        <v>11900</v>
      </c>
      <c r="L4816" s="1" t="s">
        <v>3828</v>
      </c>
      <c r="N4816" s="1" t="s">
        <v>4779</v>
      </c>
      <c r="P4816" s="1" t="s">
        <v>4781</v>
      </c>
      <c r="Q4816" s="3">
        <v>0</v>
      </c>
      <c r="S4816" s="23" t="s">
        <v>5949</v>
      </c>
      <c r="W4816" s="45" t="str">
        <f>HYPERLINK("http://ictvonline.org/taxonomy/p/taxonomy-history?taxnode_id=201853623","ICTVonline=201853623")</f>
        <v>ICTVonline=201853623</v>
      </c>
      <c r="AA4816" s="1">
        <v>201850000</v>
      </c>
      <c r="AB4816" s="1">
        <v>34</v>
      </c>
    </row>
    <row r="4817" spans="1:28" x14ac:dyDescent="0.15">
      <c r="A4817" s="1">
        <v>11904</v>
      </c>
      <c r="L4817" s="1" t="s">
        <v>3828</v>
      </c>
      <c r="N4817" s="1" t="s">
        <v>4782</v>
      </c>
      <c r="P4817" s="1" t="s">
        <v>4783</v>
      </c>
      <c r="Q4817" s="3">
        <v>1</v>
      </c>
      <c r="S4817" s="23" t="s">
        <v>5949</v>
      </c>
      <c r="W4817" s="45" t="str">
        <f>HYPERLINK("http://ictvonline.org/taxonomy/p/taxonomy-history?taxnode_id=201853625","ICTVonline=201853625")</f>
        <v>ICTVonline=201853625</v>
      </c>
      <c r="AA4817" s="1">
        <v>201850000</v>
      </c>
      <c r="AB4817" s="1">
        <v>34</v>
      </c>
    </row>
    <row r="4818" spans="1:28" x14ac:dyDescent="0.15">
      <c r="A4818" s="1">
        <v>11906</v>
      </c>
      <c r="L4818" s="1" t="s">
        <v>3828</v>
      </c>
      <c r="N4818" s="1" t="s">
        <v>4782</v>
      </c>
      <c r="P4818" s="1" t="s">
        <v>4784</v>
      </c>
      <c r="Q4818" s="3">
        <v>0</v>
      </c>
      <c r="S4818" s="23" t="s">
        <v>5949</v>
      </c>
      <c r="W4818" s="45" t="str">
        <f>HYPERLINK("http://ictvonline.org/taxonomy/p/taxonomy-history?taxnode_id=201853626","ICTVonline=201853626")</f>
        <v>ICTVonline=201853626</v>
      </c>
      <c r="AA4818" s="1">
        <v>201850000</v>
      </c>
      <c r="AB4818" s="1">
        <v>34</v>
      </c>
    </row>
    <row r="4819" spans="1:28" x14ac:dyDescent="0.15">
      <c r="A4819" s="1">
        <v>11908</v>
      </c>
      <c r="L4819" s="1" t="s">
        <v>3828</v>
      </c>
      <c r="N4819" s="1" t="s">
        <v>4782</v>
      </c>
      <c r="P4819" s="1" t="s">
        <v>4785</v>
      </c>
      <c r="Q4819" s="3">
        <v>0</v>
      </c>
      <c r="S4819" s="23" t="s">
        <v>5949</v>
      </c>
      <c r="W4819" s="45" t="str">
        <f>HYPERLINK("http://ictvonline.org/taxonomy/p/taxonomy-history?taxnode_id=201853627","ICTVonline=201853627")</f>
        <v>ICTVonline=201853627</v>
      </c>
      <c r="AA4819" s="1">
        <v>201850000</v>
      </c>
      <c r="AB4819" s="1">
        <v>34</v>
      </c>
    </row>
    <row r="4820" spans="1:28" x14ac:dyDescent="0.15">
      <c r="A4820" s="1">
        <v>11912</v>
      </c>
      <c r="L4820" s="1" t="s">
        <v>3828</v>
      </c>
      <c r="N4820" s="1" t="s">
        <v>4786</v>
      </c>
      <c r="P4820" s="1" t="s">
        <v>4787</v>
      </c>
      <c r="Q4820" s="3">
        <v>1</v>
      </c>
      <c r="S4820" s="23" t="s">
        <v>5949</v>
      </c>
      <c r="W4820" s="45" t="str">
        <f>HYPERLINK("http://ictvonline.org/taxonomy/p/taxonomy-history?taxnode_id=201853629","ICTVonline=201853629")</f>
        <v>ICTVonline=201853629</v>
      </c>
      <c r="AA4820" s="1">
        <v>201850000</v>
      </c>
      <c r="AB4820" s="1">
        <v>34</v>
      </c>
    </row>
    <row r="4821" spans="1:28" x14ac:dyDescent="0.15">
      <c r="A4821" s="1">
        <v>11916</v>
      </c>
      <c r="L4821" s="1" t="s">
        <v>3828</v>
      </c>
      <c r="N4821" s="1" t="s">
        <v>4788</v>
      </c>
      <c r="P4821" s="1" t="s">
        <v>4789</v>
      </c>
      <c r="Q4821" s="3">
        <v>1</v>
      </c>
      <c r="S4821" s="23" t="s">
        <v>5949</v>
      </c>
      <c r="W4821" s="45" t="str">
        <f>HYPERLINK("http://ictvonline.org/taxonomy/p/taxonomy-history?taxnode_id=201853631","ICTVonline=201853631")</f>
        <v>ICTVonline=201853631</v>
      </c>
      <c r="AA4821" s="1">
        <v>201850000</v>
      </c>
      <c r="AB4821" s="1">
        <v>34</v>
      </c>
    </row>
    <row r="4822" spans="1:28" x14ac:dyDescent="0.15">
      <c r="A4822" s="1">
        <v>11920</v>
      </c>
      <c r="L4822" s="1" t="s">
        <v>3828</v>
      </c>
      <c r="N4822" s="1" t="s">
        <v>4790</v>
      </c>
      <c r="P4822" s="1" t="s">
        <v>4791</v>
      </c>
      <c r="Q4822" s="3">
        <v>1</v>
      </c>
      <c r="S4822" s="23" t="s">
        <v>5949</v>
      </c>
      <c r="W4822" s="45" t="str">
        <f>HYPERLINK("http://ictvonline.org/taxonomy/p/taxonomy-history?taxnode_id=201853633","ICTVonline=201853633")</f>
        <v>ICTVonline=201853633</v>
      </c>
      <c r="AA4822" s="1">
        <v>201850000</v>
      </c>
      <c r="AB4822" s="1">
        <v>34</v>
      </c>
    </row>
    <row r="4823" spans="1:28" x14ac:dyDescent="0.15">
      <c r="A4823" s="1">
        <v>11926</v>
      </c>
      <c r="L4823" s="1" t="s">
        <v>381</v>
      </c>
      <c r="N4823" s="1" t="s">
        <v>382</v>
      </c>
      <c r="P4823" s="1" t="s">
        <v>383</v>
      </c>
      <c r="Q4823" s="3">
        <v>1</v>
      </c>
      <c r="S4823" s="23" t="s">
        <v>5949</v>
      </c>
      <c r="W4823" s="45" t="str">
        <f>HYPERLINK("http://ictvonline.org/taxonomy/p/taxonomy-history?taxnode_id=201853637","ICTVonline=201853637")</f>
        <v>ICTVonline=201853637</v>
      </c>
      <c r="AA4823" s="1">
        <v>201850000</v>
      </c>
      <c r="AB4823" s="1">
        <v>34</v>
      </c>
    </row>
    <row r="4824" spans="1:28" x14ac:dyDescent="0.15">
      <c r="A4824" s="1">
        <v>11928</v>
      </c>
      <c r="L4824" s="1" t="s">
        <v>381</v>
      </c>
      <c r="N4824" s="1" t="s">
        <v>382</v>
      </c>
      <c r="P4824" s="1" t="s">
        <v>674</v>
      </c>
      <c r="Q4824" s="3">
        <v>0</v>
      </c>
      <c r="S4824" s="23" t="s">
        <v>5949</v>
      </c>
      <c r="W4824" s="45" t="str">
        <f>HYPERLINK("http://ictvonline.org/taxonomy/p/taxonomy-history?taxnode_id=201853638","ICTVonline=201853638")</f>
        <v>ICTVonline=201853638</v>
      </c>
      <c r="AA4824" s="1">
        <v>201850000</v>
      </c>
      <c r="AB4824" s="1">
        <v>34</v>
      </c>
    </row>
    <row r="4825" spans="1:28" x14ac:dyDescent="0.15">
      <c r="A4825" s="1">
        <v>11934</v>
      </c>
      <c r="L4825" s="1" t="s">
        <v>1461</v>
      </c>
      <c r="N4825" s="1" t="s">
        <v>2264</v>
      </c>
      <c r="P4825" s="1" t="s">
        <v>246</v>
      </c>
      <c r="Q4825" s="3">
        <v>1</v>
      </c>
      <c r="S4825" s="23" t="s">
        <v>5949</v>
      </c>
      <c r="W4825" s="45" t="str">
        <f>HYPERLINK("http://ictvonline.org/taxonomy/p/taxonomy-history?taxnode_id=201853642","ICTVonline=201853642")</f>
        <v>ICTVonline=201853642</v>
      </c>
      <c r="AA4825" s="1">
        <v>201850000</v>
      </c>
      <c r="AB4825" s="1">
        <v>34</v>
      </c>
    </row>
    <row r="4826" spans="1:28" x14ac:dyDescent="0.15">
      <c r="A4826" s="1">
        <v>11938</v>
      </c>
      <c r="L4826" s="1" t="s">
        <v>1461</v>
      </c>
      <c r="N4826" s="1" t="s">
        <v>2265</v>
      </c>
      <c r="P4826" s="1" t="s">
        <v>2266</v>
      </c>
      <c r="Q4826" s="3">
        <v>1</v>
      </c>
      <c r="S4826" s="23" t="s">
        <v>5949</v>
      </c>
      <c r="W4826" s="45" t="str">
        <f>HYPERLINK("http://ictvonline.org/taxonomy/p/taxonomy-history?taxnode_id=201853644","ICTVonline=201853644")</f>
        <v>ICTVonline=201853644</v>
      </c>
      <c r="AA4826" s="1">
        <v>201850000</v>
      </c>
      <c r="AB4826" s="1">
        <v>34</v>
      </c>
    </row>
    <row r="4827" spans="1:28" x14ac:dyDescent="0.15">
      <c r="A4827" s="1">
        <v>11944</v>
      </c>
      <c r="L4827" s="1" t="s">
        <v>247</v>
      </c>
      <c r="N4827" s="1" t="s">
        <v>1241</v>
      </c>
      <c r="P4827" s="1" t="s">
        <v>1242</v>
      </c>
      <c r="Q4827" s="3">
        <v>1</v>
      </c>
      <c r="S4827" s="23" t="s">
        <v>5949</v>
      </c>
      <c r="W4827" s="45" t="str">
        <f>HYPERLINK("http://ictvonline.org/taxonomy/p/taxonomy-history?taxnode_id=201853648","ICTVonline=201853648")</f>
        <v>ICTVonline=201853648</v>
      </c>
      <c r="AA4827" s="1">
        <v>201850000</v>
      </c>
      <c r="AB4827" s="1">
        <v>34</v>
      </c>
    </row>
    <row r="4828" spans="1:28" x14ac:dyDescent="0.15">
      <c r="A4828" s="1">
        <v>11946</v>
      </c>
      <c r="L4828" s="1" t="s">
        <v>247</v>
      </c>
      <c r="N4828" s="1" t="s">
        <v>1241</v>
      </c>
      <c r="P4828" s="1" t="s">
        <v>1243</v>
      </c>
      <c r="Q4828" s="3">
        <v>0</v>
      </c>
      <c r="S4828" s="23" t="s">
        <v>5949</v>
      </c>
      <c r="W4828" s="45" t="str">
        <f>HYPERLINK("http://ictvonline.org/taxonomy/p/taxonomy-history?taxnode_id=201853649","ICTVonline=201853649")</f>
        <v>ICTVonline=201853649</v>
      </c>
      <c r="AA4828" s="1">
        <v>201850000</v>
      </c>
      <c r="AB4828" s="1">
        <v>34</v>
      </c>
    </row>
    <row r="4829" spans="1:28" x14ac:dyDescent="0.15">
      <c r="A4829" s="1">
        <v>11948</v>
      </c>
      <c r="L4829" s="1" t="s">
        <v>247</v>
      </c>
      <c r="N4829" s="1" t="s">
        <v>1241</v>
      </c>
      <c r="P4829" s="1" t="s">
        <v>4792</v>
      </c>
      <c r="Q4829" s="3">
        <v>0</v>
      </c>
      <c r="S4829" s="23" t="s">
        <v>5949</v>
      </c>
      <c r="W4829" s="45" t="str">
        <f>HYPERLINK("http://ictvonline.org/taxonomy/p/taxonomy-history?taxnode_id=201853650","ICTVonline=201853650")</f>
        <v>ICTVonline=201853650</v>
      </c>
      <c r="AA4829" s="1">
        <v>201850000</v>
      </c>
      <c r="AB4829" s="1">
        <v>34</v>
      </c>
    </row>
    <row r="4830" spans="1:28" x14ac:dyDescent="0.15">
      <c r="A4830" s="1">
        <v>11952</v>
      </c>
      <c r="L4830" s="1" t="s">
        <v>247</v>
      </c>
      <c r="N4830" s="1" t="s">
        <v>1244</v>
      </c>
      <c r="P4830" s="1" t="s">
        <v>7080</v>
      </c>
      <c r="Q4830" s="3">
        <v>0</v>
      </c>
      <c r="S4830" s="23" t="s">
        <v>5949</v>
      </c>
      <c r="T4830" s="23" t="s">
        <v>4929</v>
      </c>
      <c r="U4830" s="3">
        <v>34</v>
      </c>
      <c r="V4830" s="3" t="s">
        <v>7081</v>
      </c>
      <c r="W4830" s="45" t="str">
        <f>HYPERLINK("http://ictvonline.org/taxonomy/p/taxonomy-history?taxnode_id=201856328","ICTVonline=201856328")</f>
        <v>ICTVonline=201856328</v>
      </c>
      <c r="AA4830" s="1">
        <v>201850000</v>
      </c>
      <c r="AB4830" s="1">
        <v>34</v>
      </c>
    </row>
    <row r="4831" spans="1:28" x14ac:dyDescent="0.15">
      <c r="A4831" s="1">
        <v>11954</v>
      </c>
      <c r="L4831" s="1" t="s">
        <v>247</v>
      </c>
      <c r="N4831" s="1" t="s">
        <v>1244</v>
      </c>
      <c r="P4831" s="1" t="s">
        <v>1245</v>
      </c>
      <c r="Q4831" s="3">
        <v>0</v>
      </c>
      <c r="S4831" s="23" t="s">
        <v>5949</v>
      </c>
      <c r="W4831" s="45" t="str">
        <f>HYPERLINK("http://ictvonline.org/taxonomy/p/taxonomy-history?taxnode_id=201853652","ICTVonline=201853652")</f>
        <v>ICTVonline=201853652</v>
      </c>
      <c r="AA4831" s="1">
        <v>201850000</v>
      </c>
      <c r="AB4831" s="1">
        <v>34</v>
      </c>
    </row>
    <row r="4832" spans="1:28" x14ac:dyDescent="0.15">
      <c r="A4832" s="1">
        <v>11956</v>
      </c>
      <c r="L4832" s="1" t="s">
        <v>247</v>
      </c>
      <c r="N4832" s="1" t="s">
        <v>1244</v>
      </c>
      <c r="P4832" s="1" t="s">
        <v>1246</v>
      </c>
      <c r="Q4832" s="3">
        <v>1</v>
      </c>
      <c r="S4832" s="23" t="s">
        <v>5949</v>
      </c>
      <c r="W4832" s="45" t="str">
        <f>HYPERLINK("http://ictvonline.org/taxonomy/p/taxonomy-history?taxnode_id=201853653","ICTVonline=201853653")</f>
        <v>ICTVonline=201853653</v>
      </c>
      <c r="AA4832" s="1">
        <v>201850000</v>
      </c>
      <c r="AB4832" s="1">
        <v>34</v>
      </c>
    </row>
    <row r="4833" spans="1:28" x14ac:dyDescent="0.15">
      <c r="A4833" s="1">
        <v>11958</v>
      </c>
      <c r="L4833" s="1" t="s">
        <v>247</v>
      </c>
      <c r="N4833" s="1" t="s">
        <v>1244</v>
      </c>
      <c r="P4833" s="1" t="s">
        <v>3831</v>
      </c>
      <c r="Q4833" s="3">
        <v>0</v>
      </c>
      <c r="S4833" s="23" t="s">
        <v>5949</v>
      </c>
      <c r="W4833" s="45" t="str">
        <f>HYPERLINK("http://ictvonline.org/taxonomy/p/taxonomy-history?taxnode_id=201853654","ICTVonline=201853654")</f>
        <v>ICTVonline=201853654</v>
      </c>
      <c r="AA4833" s="1">
        <v>201850000</v>
      </c>
      <c r="AB4833" s="1">
        <v>34</v>
      </c>
    </row>
    <row r="4834" spans="1:28" x14ac:dyDescent="0.15">
      <c r="A4834" s="1">
        <v>11960</v>
      </c>
      <c r="L4834" s="1" t="s">
        <v>247</v>
      </c>
      <c r="N4834" s="1" t="s">
        <v>1244</v>
      </c>
      <c r="P4834" s="1" t="s">
        <v>4793</v>
      </c>
      <c r="Q4834" s="3">
        <v>0</v>
      </c>
      <c r="S4834" s="23" t="s">
        <v>5949</v>
      </c>
      <c r="W4834" s="45" t="str">
        <f>HYPERLINK("http://ictvonline.org/taxonomy/p/taxonomy-history?taxnode_id=201853655","ICTVonline=201853655")</f>
        <v>ICTVonline=201853655</v>
      </c>
      <c r="AA4834" s="1">
        <v>201850000</v>
      </c>
      <c r="AB4834" s="1">
        <v>34</v>
      </c>
    </row>
    <row r="4835" spans="1:28" x14ac:dyDescent="0.15">
      <c r="A4835" s="1">
        <v>11962</v>
      </c>
      <c r="L4835" s="1" t="s">
        <v>247</v>
      </c>
      <c r="N4835" s="1" t="s">
        <v>1244</v>
      </c>
      <c r="P4835" s="1" t="s">
        <v>3832</v>
      </c>
      <c r="Q4835" s="3">
        <v>0</v>
      </c>
      <c r="S4835" s="23" t="s">
        <v>5949</v>
      </c>
      <c r="W4835" s="45" t="str">
        <f>HYPERLINK("http://ictvonline.org/taxonomy/p/taxonomy-history?taxnode_id=201853656","ICTVonline=201853656")</f>
        <v>ICTVonline=201853656</v>
      </c>
      <c r="AA4835" s="1">
        <v>201850000</v>
      </c>
      <c r="AB4835" s="1">
        <v>34</v>
      </c>
    </row>
    <row r="4836" spans="1:28" x14ac:dyDescent="0.15">
      <c r="A4836" s="1">
        <v>11964</v>
      </c>
      <c r="L4836" s="1" t="s">
        <v>247</v>
      </c>
      <c r="N4836" s="1" t="s">
        <v>1244</v>
      </c>
      <c r="P4836" s="1" t="s">
        <v>3833</v>
      </c>
      <c r="Q4836" s="3">
        <v>0</v>
      </c>
      <c r="S4836" s="23" t="s">
        <v>5949</v>
      </c>
      <c r="W4836" s="45" t="str">
        <f>HYPERLINK("http://ictvonline.org/taxonomy/p/taxonomy-history?taxnode_id=201853657","ICTVonline=201853657")</f>
        <v>ICTVonline=201853657</v>
      </c>
      <c r="AA4836" s="1">
        <v>201850000</v>
      </c>
      <c r="AB4836" s="1">
        <v>34</v>
      </c>
    </row>
    <row r="4837" spans="1:28" x14ac:dyDescent="0.15">
      <c r="A4837" s="1">
        <v>11966</v>
      </c>
      <c r="L4837" s="1" t="s">
        <v>247</v>
      </c>
      <c r="N4837" s="1" t="s">
        <v>1244</v>
      </c>
      <c r="P4837" s="1" t="s">
        <v>1247</v>
      </c>
      <c r="Q4837" s="3">
        <v>0</v>
      </c>
      <c r="S4837" s="23" t="s">
        <v>5949</v>
      </c>
      <c r="W4837" s="45" t="str">
        <f>HYPERLINK("http://ictvonline.org/taxonomy/p/taxonomy-history?taxnode_id=201853658","ICTVonline=201853658")</f>
        <v>ICTVonline=201853658</v>
      </c>
      <c r="AA4837" s="1">
        <v>201850000</v>
      </c>
      <c r="AB4837" s="1">
        <v>34</v>
      </c>
    </row>
    <row r="4838" spans="1:28" x14ac:dyDescent="0.15">
      <c r="A4838" s="1">
        <v>11968</v>
      </c>
      <c r="L4838" s="1" t="s">
        <v>247</v>
      </c>
      <c r="N4838" s="1" t="s">
        <v>1244</v>
      </c>
      <c r="P4838" s="1" t="s">
        <v>254</v>
      </c>
      <c r="Q4838" s="3">
        <v>0</v>
      </c>
      <c r="S4838" s="23" t="s">
        <v>5949</v>
      </c>
      <c r="W4838" s="45" t="str">
        <f>HYPERLINK("http://ictvonline.org/taxonomy/p/taxonomy-history?taxnode_id=201853659","ICTVonline=201853659")</f>
        <v>ICTVonline=201853659</v>
      </c>
      <c r="AA4838" s="1">
        <v>201850000</v>
      </c>
      <c r="AB4838" s="1">
        <v>34</v>
      </c>
    </row>
    <row r="4839" spans="1:28" x14ac:dyDescent="0.15">
      <c r="A4839" s="1">
        <v>11971</v>
      </c>
      <c r="L4839" s="1" t="s">
        <v>247</v>
      </c>
      <c r="P4839" s="1" t="s">
        <v>5446</v>
      </c>
      <c r="Q4839" s="3">
        <v>0</v>
      </c>
      <c r="S4839" s="23" t="s">
        <v>5949</v>
      </c>
      <c r="W4839" s="45" t="str">
        <f>HYPERLINK("http://ictvonline.org/taxonomy/p/taxonomy-history?taxnode_id=201855859","ICTVonline=201855859")</f>
        <v>ICTVonline=201855859</v>
      </c>
      <c r="AA4839" s="1">
        <v>201850000</v>
      </c>
      <c r="AB4839" s="1">
        <v>34</v>
      </c>
    </row>
    <row r="4840" spans="1:28" x14ac:dyDescent="0.15">
      <c r="A4840" s="1">
        <v>11973</v>
      </c>
      <c r="L4840" s="1" t="s">
        <v>247</v>
      </c>
      <c r="P4840" s="1" t="s">
        <v>5447</v>
      </c>
      <c r="Q4840" s="3">
        <v>0</v>
      </c>
      <c r="S4840" s="23" t="s">
        <v>5949</v>
      </c>
      <c r="W4840" s="45" t="str">
        <f>HYPERLINK("http://ictvonline.org/taxonomy/p/taxonomy-history?taxnode_id=201855860","ICTVonline=201855860")</f>
        <v>ICTVonline=201855860</v>
      </c>
      <c r="AA4840" s="1">
        <v>201850000</v>
      </c>
      <c r="AB4840" s="1">
        <v>34</v>
      </c>
    </row>
    <row r="4841" spans="1:28" x14ac:dyDescent="0.15">
      <c r="A4841" s="1">
        <v>11975</v>
      </c>
      <c r="L4841" s="1" t="s">
        <v>247</v>
      </c>
      <c r="P4841" s="1" t="s">
        <v>4794</v>
      </c>
      <c r="Q4841" s="3">
        <v>0</v>
      </c>
      <c r="S4841" s="23" t="s">
        <v>5949</v>
      </c>
      <c r="W4841" s="45" t="str">
        <f>HYPERLINK("http://ictvonline.org/taxonomy/p/taxonomy-history?taxnode_id=201853661","ICTVonline=201853661")</f>
        <v>ICTVonline=201853661</v>
      </c>
      <c r="AA4841" s="1">
        <v>201850000</v>
      </c>
      <c r="AB4841" s="1">
        <v>34</v>
      </c>
    </row>
    <row r="4842" spans="1:28" x14ac:dyDescent="0.15">
      <c r="A4842" s="1">
        <v>11980</v>
      </c>
      <c r="L4842" s="1" t="s">
        <v>96</v>
      </c>
      <c r="N4842" s="1" t="s">
        <v>97</v>
      </c>
      <c r="P4842" s="1" t="s">
        <v>98</v>
      </c>
      <c r="Q4842" s="3">
        <v>1</v>
      </c>
      <c r="S4842" s="23" t="s">
        <v>5949</v>
      </c>
      <c r="W4842" s="45" t="str">
        <f>HYPERLINK("http://ictvonline.org/taxonomy/p/taxonomy-history?taxnode_id=201853681","ICTVonline=201853681")</f>
        <v>ICTVonline=201853681</v>
      </c>
      <c r="AA4842" s="1">
        <v>201850000</v>
      </c>
      <c r="AB4842" s="1">
        <v>34</v>
      </c>
    </row>
    <row r="4843" spans="1:28" x14ac:dyDescent="0.15">
      <c r="A4843" s="1">
        <v>11984</v>
      </c>
      <c r="L4843" s="1" t="s">
        <v>96</v>
      </c>
      <c r="N4843" s="1" t="s">
        <v>99</v>
      </c>
      <c r="P4843" s="1" t="s">
        <v>100</v>
      </c>
      <c r="Q4843" s="3">
        <v>1</v>
      </c>
      <c r="S4843" s="23" t="s">
        <v>5949</v>
      </c>
      <c r="W4843" s="45" t="str">
        <f>HYPERLINK("http://ictvonline.org/taxonomy/p/taxonomy-history?taxnode_id=201853683","ICTVonline=201853683")</f>
        <v>ICTVonline=201853683</v>
      </c>
      <c r="AA4843" s="1">
        <v>201850000</v>
      </c>
      <c r="AB4843" s="1">
        <v>34</v>
      </c>
    </row>
    <row r="4844" spans="1:28" x14ac:dyDescent="0.15">
      <c r="A4844" s="1">
        <v>11990</v>
      </c>
      <c r="L4844" s="1" t="s">
        <v>1679</v>
      </c>
      <c r="N4844" s="1" t="s">
        <v>4135</v>
      </c>
      <c r="P4844" s="1" t="s">
        <v>3841</v>
      </c>
      <c r="Q4844" s="3">
        <v>1</v>
      </c>
      <c r="S4844" s="23" t="s">
        <v>5949</v>
      </c>
      <c r="W4844" s="45" t="str">
        <f>HYPERLINK("http://ictvonline.org/taxonomy/p/taxonomy-history?taxnode_id=201853687","ICTVonline=201853687")</f>
        <v>ICTVonline=201853687</v>
      </c>
      <c r="AA4844" s="1">
        <v>201850000</v>
      </c>
      <c r="AB4844" s="1">
        <v>34</v>
      </c>
    </row>
    <row r="4845" spans="1:28" x14ac:dyDescent="0.15">
      <c r="A4845" s="1">
        <v>11992</v>
      </c>
      <c r="L4845" s="1" t="s">
        <v>1679</v>
      </c>
      <c r="N4845" s="1" t="s">
        <v>4135</v>
      </c>
      <c r="P4845" s="1" t="s">
        <v>4795</v>
      </c>
      <c r="Q4845" s="3">
        <v>0</v>
      </c>
      <c r="S4845" s="23" t="s">
        <v>5949</v>
      </c>
      <c r="W4845" s="45" t="str">
        <f>HYPERLINK("http://ictvonline.org/taxonomy/p/taxonomy-history?taxnode_id=201853688","ICTVonline=201853688")</f>
        <v>ICTVonline=201853688</v>
      </c>
      <c r="AA4845" s="1">
        <v>201850000</v>
      </c>
      <c r="AB4845" s="1">
        <v>34</v>
      </c>
    </row>
    <row r="4846" spans="1:28" x14ac:dyDescent="0.15">
      <c r="A4846" s="1">
        <v>11996</v>
      </c>
      <c r="L4846" s="1" t="s">
        <v>1679</v>
      </c>
      <c r="N4846" s="1" t="s">
        <v>4796</v>
      </c>
      <c r="P4846" s="1" t="s">
        <v>4797</v>
      </c>
      <c r="Q4846" s="3">
        <v>0</v>
      </c>
      <c r="S4846" s="23" t="s">
        <v>5949</v>
      </c>
      <c r="W4846" s="45" t="str">
        <f>HYPERLINK("http://ictvonline.org/taxonomy/p/taxonomy-history?taxnode_id=201853690","ICTVonline=201853690")</f>
        <v>ICTVonline=201853690</v>
      </c>
      <c r="AA4846" s="1">
        <v>201850000</v>
      </c>
      <c r="AB4846" s="1">
        <v>34</v>
      </c>
    </row>
    <row r="4847" spans="1:28" x14ac:dyDescent="0.15">
      <c r="A4847" s="1">
        <v>11998</v>
      </c>
      <c r="L4847" s="1" t="s">
        <v>1679</v>
      </c>
      <c r="N4847" s="1" t="s">
        <v>4796</v>
      </c>
      <c r="P4847" s="1" t="s">
        <v>4798</v>
      </c>
      <c r="Q4847" s="3">
        <v>1</v>
      </c>
      <c r="S4847" s="23" t="s">
        <v>5949</v>
      </c>
      <c r="W4847" s="45" t="str">
        <f>HYPERLINK("http://ictvonline.org/taxonomy/p/taxonomy-history?taxnode_id=201853691","ICTVonline=201853691")</f>
        <v>ICTVonline=201853691</v>
      </c>
      <c r="Y4847" s="49"/>
      <c r="Z4847" s="49"/>
      <c r="AA4847" s="1">
        <v>201850000</v>
      </c>
      <c r="AB4847" s="49">
        <v>34</v>
      </c>
    </row>
    <row r="4848" spans="1:28" x14ac:dyDescent="0.15">
      <c r="A4848" s="1">
        <v>12000</v>
      </c>
      <c r="L4848" s="1" t="s">
        <v>1679</v>
      </c>
      <c r="N4848" s="1" t="s">
        <v>4796</v>
      </c>
      <c r="P4848" s="1" t="s">
        <v>4799</v>
      </c>
      <c r="Q4848" s="3">
        <v>0</v>
      </c>
      <c r="S4848" s="23" t="s">
        <v>5949</v>
      </c>
      <c r="W4848" s="45" t="str">
        <f>HYPERLINK("http://ictvonline.org/taxonomy/p/taxonomy-history?taxnode_id=201853692","ICTVonline=201853692")</f>
        <v>ICTVonline=201853692</v>
      </c>
      <c r="Y4848" s="49"/>
      <c r="Z4848" s="49"/>
      <c r="AA4848" s="1">
        <v>201850000</v>
      </c>
      <c r="AB4848" s="49">
        <v>34</v>
      </c>
    </row>
    <row r="4849" spans="1:28" x14ac:dyDescent="0.15">
      <c r="A4849" s="1">
        <v>12004</v>
      </c>
      <c r="L4849" s="1" t="s">
        <v>1679</v>
      </c>
      <c r="N4849" s="1" t="s">
        <v>1680</v>
      </c>
      <c r="P4849" s="1" t="s">
        <v>3836</v>
      </c>
      <c r="Q4849" s="3">
        <v>1</v>
      </c>
      <c r="S4849" s="23" t="s">
        <v>5949</v>
      </c>
      <c r="W4849" s="45" t="str">
        <f>HYPERLINK("http://ictvonline.org/taxonomy/p/taxonomy-history?taxnode_id=201853694","ICTVonline=201853694")</f>
        <v>ICTVonline=201853694</v>
      </c>
      <c r="AA4849" s="1">
        <v>201850000</v>
      </c>
      <c r="AB4849" s="1">
        <v>34</v>
      </c>
    </row>
    <row r="4850" spans="1:28" x14ac:dyDescent="0.15">
      <c r="A4850" s="1">
        <v>12008</v>
      </c>
      <c r="L4850" s="1" t="s">
        <v>1679</v>
      </c>
      <c r="N4850" s="1" t="s">
        <v>4136</v>
      </c>
      <c r="P4850" s="1" t="s">
        <v>3834</v>
      </c>
      <c r="Q4850" s="3">
        <v>0</v>
      </c>
      <c r="S4850" s="23" t="s">
        <v>5949</v>
      </c>
      <c r="W4850" s="45" t="str">
        <f>HYPERLINK("http://ictvonline.org/taxonomy/p/taxonomy-history?taxnode_id=201853696","ICTVonline=201853696")</f>
        <v>ICTVonline=201853696</v>
      </c>
      <c r="AA4850" s="1">
        <v>201850000</v>
      </c>
      <c r="AB4850" s="1">
        <v>34</v>
      </c>
    </row>
    <row r="4851" spans="1:28" x14ac:dyDescent="0.15">
      <c r="A4851" s="1">
        <v>12010</v>
      </c>
      <c r="L4851" s="1" t="s">
        <v>1679</v>
      </c>
      <c r="N4851" s="1" t="s">
        <v>4136</v>
      </c>
      <c r="P4851" s="1" t="s">
        <v>3839</v>
      </c>
      <c r="Q4851" s="3">
        <v>1</v>
      </c>
      <c r="S4851" s="23" t="s">
        <v>5949</v>
      </c>
      <c r="W4851" s="45" t="str">
        <f>HYPERLINK("http://ictvonline.org/taxonomy/p/taxonomy-history?taxnode_id=201853697","ICTVonline=201853697")</f>
        <v>ICTVonline=201853697</v>
      </c>
      <c r="AA4851" s="1">
        <v>201850000</v>
      </c>
      <c r="AB4851" s="1">
        <v>34</v>
      </c>
    </row>
    <row r="4852" spans="1:28" x14ac:dyDescent="0.15">
      <c r="A4852" s="1">
        <v>12014</v>
      </c>
      <c r="L4852" s="1" t="s">
        <v>1679</v>
      </c>
      <c r="N4852" s="1" t="s">
        <v>1015</v>
      </c>
      <c r="P4852" s="1" t="s">
        <v>5448</v>
      </c>
      <c r="Q4852" s="3">
        <v>1</v>
      </c>
      <c r="S4852" s="23" t="s">
        <v>5949</v>
      </c>
      <c r="W4852" s="45" t="str">
        <f>HYPERLINK("http://ictvonline.org/taxonomy/p/taxonomy-history?taxnode_id=201853699","ICTVonline=201853699")</f>
        <v>ICTVonline=201853699</v>
      </c>
      <c r="AA4852" s="1">
        <v>201850000</v>
      </c>
      <c r="AB4852" s="1">
        <v>34</v>
      </c>
    </row>
    <row r="4853" spans="1:28" x14ac:dyDescent="0.15">
      <c r="A4853" s="1">
        <v>12018</v>
      </c>
      <c r="L4853" s="1" t="s">
        <v>1679</v>
      </c>
      <c r="N4853" s="1" t="s">
        <v>4137</v>
      </c>
      <c r="P4853" s="1" t="s">
        <v>3842</v>
      </c>
      <c r="Q4853" s="3">
        <v>1</v>
      </c>
      <c r="S4853" s="23" t="s">
        <v>5949</v>
      </c>
      <c r="W4853" s="45" t="str">
        <f>HYPERLINK("http://ictvonline.org/taxonomy/p/taxonomy-history?taxnode_id=201853701","ICTVonline=201853701")</f>
        <v>ICTVonline=201853701</v>
      </c>
      <c r="AA4853" s="1">
        <v>201850000</v>
      </c>
      <c r="AB4853" s="1">
        <v>34</v>
      </c>
    </row>
    <row r="4854" spans="1:28" x14ac:dyDescent="0.15">
      <c r="A4854" s="1">
        <v>12020</v>
      </c>
      <c r="L4854" s="1" t="s">
        <v>1679</v>
      </c>
      <c r="N4854" s="1" t="s">
        <v>4137</v>
      </c>
      <c r="P4854" s="1" t="s">
        <v>4800</v>
      </c>
      <c r="Q4854" s="3">
        <v>0</v>
      </c>
      <c r="S4854" s="23" t="s">
        <v>5949</v>
      </c>
      <c r="W4854" s="45" t="str">
        <f>HYPERLINK("http://ictvonline.org/taxonomy/p/taxonomy-history?taxnode_id=201853702","ICTVonline=201853702")</f>
        <v>ICTVonline=201853702</v>
      </c>
      <c r="AA4854" s="1">
        <v>201850000</v>
      </c>
      <c r="AB4854" s="1">
        <v>34</v>
      </c>
    </row>
    <row r="4855" spans="1:28" x14ac:dyDescent="0.15">
      <c r="A4855" s="1">
        <v>12024</v>
      </c>
      <c r="L4855" s="1" t="s">
        <v>1679</v>
      </c>
      <c r="N4855" s="1" t="s">
        <v>4138</v>
      </c>
      <c r="P4855" s="1" t="s">
        <v>3845</v>
      </c>
      <c r="Q4855" s="3">
        <v>0</v>
      </c>
      <c r="S4855" s="23" t="s">
        <v>5949</v>
      </c>
      <c r="W4855" s="45" t="str">
        <f>HYPERLINK("http://ictvonline.org/taxonomy/p/taxonomy-history?taxnode_id=201853722","ICTVonline=201853722")</f>
        <v>ICTVonline=201853722</v>
      </c>
      <c r="AA4855" s="1">
        <v>201850000</v>
      </c>
      <c r="AB4855" s="1">
        <v>34</v>
      </c>
    </row>
    <row r="4856" spans="1:28" x14ac:dyDescent="0.15">
      <c r="A4856" s="1">
        <v>12026</v>
      </c>
      <c r="L4856" s="1" t="s">
        <v>1679</v>
      </c>
      <c r="N4856" s="1" t="s">
        <v>4138</v>
      </c>
      <c r="P4856" s="1" t="s">
        <v>3846</v>
      </c>
      <c r="Q4856" s="3">
        <v>1</v>
      </c>
      <c r="S4856" s="23" t="s">
        <v>5949</v>
      </c>
      <c r="W4856" s="45" t="str">
        <f>HYPERLINK("http://ictvonline.org/taxonomy/p/taxonomy-history?taxnode_id=201853723","ICTVonline=201853723")</f>
        <v>ICTVonline=201853723</v>
      </c>
      <c r="AA4856" s="1">
        <v>201850000</v>
      </c>
      <c r="AB4856" s="1">
        <v>34</v>
      </c>
    </row>
    <row r="4857" spans="1:28" x14ac:dyDescent="0.15">
      <c r="A4857" s="1">
        <v>12028</v>
      </c>
      <c r="L4857" s="1" t="s">
        <v>1679</v>
      </c>
      <c r="N4857" s="1" t="s">
        <v>4138</v>
      </c>
      <c r="P4857" s="1" t="s">
        <v>4812</v>
      </c>
      <c r="Q4857" s="3">
        <v>0</v>
      </c>
      <c r="S4857" s="23" t="s">
        <v>5949</v>
      </c>
      <c r="W4857" s="45" t="str">
        <f>HYPERLINK("http://ictvonline.org/taxonomy/p/taxonomy-history?taxnode_id=201853724","ICTVonline=201853724")</f>
        <v>ICTVonline=201853724</v>
      </c>
      <c r="AA4857" s="1">
        <v>201850000</v>
      </c>
      <c r="AB4857" s="1">
        <v>34</v>
      </c>
    </row>
    <row r="4858" spans="1:28" x14ac:dyDescent="0.15">
      <c r="A4858" s="1">
        <v>12031</v>
      </c>
      <c r="L4858" s="1" t="s">
        <v>1679</v>
      </c>
      <c r="P4858" s="1" t="s">
        <v>3835</v>
      </c>
      <c r="Q4858" s="3">
        <v>0</v>
      </c>
      <c r="S4858" s="23" t="s">
        <v>5949</v>
      </c>
      <c r="W4858" s="45" t="str">
        <f>HYPERLINK("http://ictvonline.org/taxonomy/p/taxonomy-history?taxnode_id=201853704","ICTVonline=201853704")</f>
        <v>ICTVonline=201853704</v>
      </c>
      <c r="AA4858" s="1">
        <v>201850000</v>
      </c>
      <c r="AB4858" s="1">
        <v>34</v>
      </c>
    </row>
    <row r="4859" spans="1:28" x14ac:dyDescent="0.15">
      <c r="A4859" s="1">
        <v>12033</v>
      </c>
      <c r="L4859" s="1" t="s">
        <v>1679</v>
      </c>
      <c r="P4859" s="1" t="s">
        <v>4801</v>
      </c>
      <c r="Q4859" s="3">
        <v>0</v>
      </c>
      <c r="S4859" s="23" t="s">
        <v>5949</v>
      </c>
      <c r="W4859" s="45" t="str">
        <f>HYPERLINK("http://ictvonline.org/taxonomy/p/taxonomy-history?taxnode_id=201853705","ICTVonline=201853705")</f>
        <v>ICTVonline=201853705</v>
      </c>
      <c r="AA4859" s="1">
        <v>201850000</v>
      </c>
      <c r="AB4859" s="1">
        <v>34</v>
      </c>
    </row>
    <row r="4860" spans="1:28" x14ac:dyDescent="0.15">
      <c r="A4860" s="1">
        <v>12035</v>
      </c>
      <c r="L4860" s="1" t="s">
        <v>1679</v>
      </c>
      <c r="P4860" s="1" t="s">
        <v>3837</v>
      </c>
      <c r="Q4860" s="3">
        <v>0</v>
      </c>
      <c r="S4860" s="23" t="s">
        <v>5949</v>
      </c>
      <c r="W4860" s="45" t="str">
        <f>HYPERLINK("http://ictvonline.org/taxonomy/p/taxonomy-history?taxnode_id=201853706","ICTVonline=201853706")</f>
        <v>ICTVonline=201853706</v>
      </c>
      <c r="Z4860" s="49"/>
      <c r="AA4860" s="1">
        <v>201850000</v>
      </c>
      <c r="AB4860" s="1">
        <v>34</v>
      </c>
    </row>
    <row r="4861" spans="1:28" x14ac:dyDescent="0.15">
      <c r="A4861" s="1">
        <v>12037</v>
      </c>
      <c r="L4861" s="1" t="s">
        <v>1679</v>
      </c>
      <c r="P4861" s="1" t="s">
        <v>3838</v>
      </c>
      <c r="Q4861" s="3">
        <v>0</v>
      </c>
      <c r="S4861" s="23" t="s">
        <v>5949</v>
      </c>
      <c r="W4861" s="45" t="str">
        <f>HYPERLINK("http://ictvonline.org/taxonomy/p/taxonomy-history?taxnode_id=201853707","ICTVonline=201853707")</f>
        <v>ICTVonline=201853707</v>
      </c>
      <c r="Z4861" s="49"/>
      <c r="AA4861" s="1">
        <v>201850000</v>
      </c>
      <c r="AB4861" s="1">
        <v>34</v>
      </c>
    </row>
    <row r="4862" spans="1:28" x14ac:dyDescent="0.15">
      <c r="A4862" s="1">
        <v>12039</v>
      </c>
      <c r="L4862" s="1" t="s">
        <v>1679</v>
      </c>
      <c r="P4862" s="1" t="s">
        <v>4802</v>
      </c>
      <c r="Q4862" s="3">
        <v>0</v>
      </c>
      <c r="S4862" s="23" t="s">
        <v>5949</v>
      </c>
      <c r="W4862" s="45" t="str">
        <f>HYPERLINK("http://ictvonline.org/taxonomy/p/taxonomy-history?taxnode_id=201853708","ICTVonline=201853708")</f>
        <v>ICTVonline=201853708</v>
      </c>
      <c r="AA4862" s="1">
        <v>201850000</v>
      </c>
      <c r="AB4862" s="1">
        <v>34</v>
      </c>
    </row>
    <row r="4863" spans="1:28" x14ac:dyDescent="0.15">
      <c r="A4863" s="1">
        <v>12041</v>
      </c>
      <c r="L4863" s="1" t="s">
        <v>1679</v>
      </c>
      <c r="P4863" s="1" t="s">
        <v>4803</v>
      </c>
      <c r="Q4863" s="3">
        <v>0</v>
      </c>
      <c r="S4863" s="23" t="s">
        <v>5949</v>
      </c>
      <c r="W4863" s="45" t="str">
        <f>HYPERLINK("http://ictvonline.org/taxonomy/p/taxonomy-history?taxnode_id=201853709","ICTVonline=201853709")</f>
        <v>ICTVonline=201853709</v>
      </c>
      <c r="AA4863" s="1">
        <v>201850000</v>
      </c>
      <c r="AB4863" s="1">
        <v>34</v>
      </c>
    </row>
    <row r="4864" spans="1:28" x14ac:dyDescent="0.15">
      <c r="A4864" s="1">
        <v>12043</v>
      </c>
      <c r="L4864" s="1" t="s">
        <v>1679</v>
      </c>
      <c r="P4864" s="1" t="s">
        <v>4804</v>
      </c>
      <c r="Q4864" s="3">
        <v>0</v>
      </c>
      <c r="S4864" s="23" t="s">
        <v>5949</v>
      </c>
      <c r="W4864" s="45" t="str">
        <f>HYPERLINK("http://ictvonline.org/taxonomy/p/taxonomy-history?taxnode_id=201853710","ICTVonline=201853710")</f>
        <v>ICTVonline=201853710</v>
      </c>
      <c r="AA4864" s="1">
        <v>201850000</v>
      </c>
      <c r="AB4864" s="1">
        <v>34</v>
      </c>
    </row>
    <row r="4865" spans="1:28" x14ac:dyDescent="0.15">
      <c r="A4865" s="1">
        <v>12045</v>
      </c>
      <c r="L4865" s="1" t="s">
        <v>1679</v>
      </c>
      <c r="P4865" s="1" t="s">
        <v>4805</v>
      </c>
      <c r="Q4865" s="3">
        <v>0</v>
      </c>
      <c r="S4865" s="23" t="s">
        <v>5949</v>
      </c>
      <c r="W4865" s="45" t="str">
        <f>HYPERLINK("http://ictvonline.org/taxonomy/p/taxonomy-history?taxnode_id=201853711","ICTVonline=201853711")</f>
        <v>ICTVonline=201853711</v>
      </c>
      <c r="AA4865" s="1">
        <v>201850000</v>
      </c>
      <c r="AB4865" s="1">
        <v>34</v>
      </c>
    </row>
    <row r="4866" spans="1:28" x14ac:dyDescent="0.15">
      <c r="A4866" s="1">
        <v>12047</v>
      </c>
      <c r="L4866" s="1" t="s">
        <v>1679</v>
      </c>
      <c r="P4866" s="1" t="s">
        <v>4806</v>
      </c>
      <c r="Q4866" s="3">
        <v>0</v>
      </c>
      <c r="S4866" s="23" t="s">
        <v>5949</v>
      </c>
      <c r="W4866" s="45" t="str">
        <f>HYPERLINK("http://ictvonline.org/taxonomy/p/taxonomy-history?taxnode_id=201853712","ICTVonline=201853712")</f>
        <v>ICTVonline=201853712</v>
      </c>
      <c r="AA4866" s="1">
        <v>201850000</v>
      </c>
      <c r="AB4866" s="1">
        <v>34</v>
      </c>
    </row>
    <row r="4867" spans="1:28" x14ac:dyDescent="0.15">
      <c r="A4867" s="1">
        <v>12049</v>
      </c>
      <c r="L4867" s="1" t="s">
        <v>1679</v>
      </c>
      <c r="P4867" s="1" t="s">
        <v>4807</v>
      </c>
      <c r="Q4867" s="3">
        <v>0</v>
      </c>
      <c r="S4867" s="23" t="s">
        <v>5949</v>
      </c>
      <c r="W4867" s="45" t="str">
        <f>HYPERLINK("http://ictvonline.org/taxonomy/p/taxonomy-history?taxnode_id=201853713","ICTVonline=201853713")</f>
        <v>ICTVonline=201853713</v>
      </c>
      <c r="AA4867" s="1">
        <v>201850000</v>
      </c>
      <c r="AB4867" s="1">
        <v>34</v>
      </c>
    </row>
    <row r="4868" spans="1:28" x14ac:dyDescent="0.15">
      <c r="A4868" s="1">
        <v>12051</v>
      </c>
      <c r="L4868" s="1" t="s">
        <v>1679</v>
      </c>
      <c r="P4868" s="1" t="s">
        <v>4808</v>
      </c>
      <c r="Q4868" s="3">
        <v>0</v>
      </c>
      <c r="S4868" s="23" t="s">
        <v>5949</v>
      </c>
      <c r="W4868" s="45" t="str">
        <f>HYPERLINK("http://ictvonline.org/taxonomy/p/taxonomy-history?taxnode_id=201853714","ICTVonline=201853714")</f>
        <v>ICTVonline=201853714</v>
      </c>
      <c r="AA4868" s="1">
        <v>201850000</v>
      </c>
      <c r="AB4868" s="1">
        <v>34</v>
      </c>
    </row>
    <row r="4869" spans="1:28" x14ac:dyDescent="0.15">
      <c r="A4869" s="1">
        <v>12053</v>
      </c>
      <c r="L4869" s="1" t="s">
        <v>1679</v>
      </c>
      <c r="P4869" s="1" t="s">
        <v>7082</v>
      </c>
      <c r="Q4869" s="3">
        <v>0</v>
      </c>
      <c r="S4869" s="23" t="s">
        <v>5949</v>
      </c>
      <c r="T4869" s="23" t="s">
        <v>4929</v>
      </c>
      <c r="U4869" s="3">
        <v>34</v>
      </c>
      <c r="V4869" s="3" t="s">
        <v>7083</v>
      </c>
      <c r="W4869" s="45" t="str">
        <f>HYPERLINK("http://ictvonline.org/taxonomy/p/taxonomy-history?taxnode_id=201856877","ICTVonline=201856877")</f>
        <v>ICTVonline=201856877</v>
      </c>
      <c r="AA4869" s="1">
        <v>201850000</v>
      </c>
      <c r="AB4869" s="1">
        <v>34</v>
      </c>
    </row>
    <row r="4870" spans="1:28" x14ac:dyDescent="0.15">
      <c r="A4870" s="1">
        <v>12055</v>
      </c>
      <c r="L4870" s="1" t="s">
        <v>1679</v>
      </c>
      <c r="P4870" s="1" t="s">
        <v>3840</v>
      </c>
      <c r="Q4870" s="3">
        <v>0</v>
      </c>
      <c r="S4870" s="23" t="s">
        <v>5949</v>
      </c>
      <c r="W4870" s="45" t="str">
        <f>HYPERLINK("http://ictvonline.org/taxonomy/p/taxonomy-history?taxnode_id=201853715","ICTVonline=201853715")</f>
        <v>ICTVonline=201853715</v>
      </c>
      <c r="AA4870" s="1">
        <v>201850000</v>
      </c>
      <c r="AB4870" s="1">
        <v>34</v>
      </c>
    </row>
    <row r="4871" spans="1:28" x14ac:dyDescent="0.15">
      <c r="A4871" s="1">
        <v>12057</v>
      </c>
      <c r="L4871" s="1" t="s">
        <v>1679</v>
      </c>
      <c r="P4871" s="1" t="s">
        <v>4809</v>
      </c>
      <c r="Q4871" s="3">
        <v>0</v>
      </c>
      <c r="S4871" s="23" t="s">
        <v>5949</v>
      </c>
      <c r="W4871" s="45" t="str">
        <f>HYPERLINK("http://ictvonline.org/taxonomy/p/taxonomy-history?taxnode_id=201853716","ICTVonline=201853716")</f>
        <v>ICTVonline=201853716</v>
      </c>
      <c r="AA4871" s="1">
        <v>201850000</v>
      </c>
      <c r="AB4871" s="1">
        <v>34</v>
      </c>
    </row>
    <row r="4872" spans="1:28" x14ac:dyDescent="0.15">
      <c r="A4872" s="1">
        <v>12059</v>
      </c>
      <c r="L4872" s="1" t="s">
        <v>1679</v>
      </c>
      <c r="P4872" s="1" t="s">
        <v>4810</v>
      </c>
      <c r="Q4872" s="3">
        <v>0</v>
      </c>
      <c r="S4872" s="23" t="s">
        <v>5949</v>
      </c>
      <c r="W4872" s="45" t="str">
        <f>HYPERLINK("http://ictvonline.org/taxonomy/p/taxonomy-history?taxnode_id=201853717","ICTVonline=201853717")</f>
        <v>ICTVonline=201853717</v>
      </c>
      <c r="AA4872" s="1">
        <v>201850000</v>
      </c>
      <c r="AB4872" s="1">
        <v>34</v>
      </c>
    </row>
    <row r="4873" spans="1:28" x14ac:dyDescent="0.15">
      <c r="A4873" s="1">
        <v>12061</v>
      </c>
      <c r="L4873" s="1" t="s">
        <v>1679</v>
      </c>
      <c r="P4873" s="1" t="s">
        <v>3843</v>
      </c>
      <c r="Q4873" s="3">
        <v>0</v>
      </c>
      <c r="S4873" s="23" t="s">
        <v>5949</v>
      </c>
      <c r="W4873" s="45" t="str">
        <f>HYPERLINK("http://ictvonline.org/taxonomy/p/taxonomy-history?taxnode_id=201853718","ICTVonline=201853718")</f>
        <v>ICTVonline=201853718</v>
      </c>
      <c r="AA4873" s="1">
        <v>201850000</v>
      </c>
      <c r="AB4873" s="1">
        <v>34</v>
      </c>
    </row>
    <row r="4874" spans="1:28" x14ac:dyDescent="0.15">
      <c r="A4874" s="1">
        <v>12063</v>
      </c>
      <c r="L4874" s="1" t="s">
        <v>1679</v>
      </c>
      <c r="P4874" s="1" t="s">
        <v>4811</v>
      </c>
      <c r="Q4874" s="3">
        <v>0</v>
      </c>
      <c r="S4874" s="23" t="s">
        <v>5949</v>
      </c>
      <c r="W4874" s="45" t="str">
        <f>HYPERLINK("http://ictvonline.org/taxonomy/p/taxonomy-history?taxnode_id=201853719","ICTVonline=201853719")</f>
        <v>ICTVonline=201853719</v>
      </c>
      <c r="AA4874" s="1">
        <v>201850000</v>
      </c>
      <c r="AB4874" s="1">
        <v>34</v>
      </c>
    </row>
    <row r="4875" spans="1:28" x14ac:dyDescent="0.15">
      <c r="A4875" s="1">
        <v>12065</v>
      </c>
      <c r="L4875" s="1" t="s">
        <v>1679</v>
      </c>
      <c r="P4875" s="1" t="s">
        <v>3844</v>
      </c>
      <c r="Q4875" s="3">
        <v>0</v>
      </c>
      <c r="S4875" s="23" t="s">
        <v>5949</v>
      </c>
      <c r="W4875" s="45" t="str">
        <f>HYPERLINK("http://ictvonline.org/taxonomy/p/taxonomy-history?taxnode_id=201853720","ICTVonline=201853720")</f>
        <v>ICTVonline=201853720</v>
      </c>
      <c r="AA4875" s="1">
        <v>201850000</v>
      </c>
      <c r="AB4875" s="1">
        <v>34</v>
      </c>
    </row>
    <row r="4876" spans="1:28" x14ac:dyDescent="0.15">
      <c r="A4876" s="1">
        <v>12067</v>
      </c>
      <c r="L4876" s="1" t="s">
        <v>1679</v>
      </c>
      <c r="P4876" s="1" t="s">
        <v>7084</v>
      </c>
      <c r="Q4876" s="3">
        <v>0</v>
      </c>
      <c r="S4876" s="23" t="s">
        <v>5949</v>
      </c>
      <c r="T4876" s="23" t="s">
        <v>4929</v>
      </c>
      <c r="U4876" s="3">
        <v>34</v>
      </c>
      <c r="V4876" s="3" t="s">
        <v>7083</v>
      </c>
      <c r="W4876" s="45" t="str">
        <f>HYPERLINK("http://ictvonline.org/taxonomy/p/taxonomy-history?taxnode_id=201856876","ICTVonline=201856876")</f>
        <v>ICTVonline=201856876</v>
      </c>
      <c r="AA4876" s="1">
        <v>201850000</v>
      </c>
      <c r="AB4876" s="1">
        <v>34</v>
      </c>
    </row>
    <row r="4877" spans="1:28" x14ac:dyDescent="0.15">
      <c r="A4877" s="1">
        <v>12073</v>
      </c>
      <c r="L4877" s="1" t="s">
        <v>1421</v>
      </c>
      <c r="M4877" s="1" t="s">
        <v>4139</v>
      </c>
      <c r="N4877" s="1" t="s">
        <v>1024</v>
      </c>
      <c r="P4877" s="1" t="s">
        <v>1025</v>
      </c>
      <c r="Q4877" s="3">
        <v>1</v>
      </c>
      <c r="S4877" s="23" t="s">
        <v>5949</v>
      </c>
      <c r="W4877" s="45" t="str">
        <f>HYPERLINK("http://ictvonline.org/taxonomy/p/taxonomy-history?taxnode_id=201853728","ICTVonline=201853728")</f>
        <v>ICTVonline=201853728</v>
      </c>
      <c r="AA4877" s="1">
        <v>201850000</v>
      </c>
      <c r="AB4877" s="1">
        <v>34</v>
      </c>
    </row>
    <row r="4878" spans="1:28" x14ac:dyDescent="0.15">
      <c r="A4878" s="1">
        <v>12075</v>
      </c>
      <c r="L4878" s="1" t="s">
        <v>1421</v>
      </c>
      <c r="M4878" s="1" t="s">
        <v>4139</v>
      </c>
      <c r="N4878" s="1" t="s">
        <v>1024</v>
      </c>
      <c r="P4878" s="1" t="s">
        <v>7085</v>
      </c>
      <c r="Q4878" s="3">
        <v>0</v>
      </c>
      <c r="S4878" s="23" t="s">
        <v>5949</v>
      </c>
      <c r="T4878" s="23" t="s">
        <v>4929</v>
      </c>
      <c r="U4878" s="3">
        <v>34</v>
      </c>
      <c r="V4878" s="3" t="s">
        <v>7086</v>
      </c>
      <c r="W4878" s="45" t="str">
        <f>HYPERLINK("http://ictvonline.org/taxonomy/p/taxonomy-history?taxnode_id=201856332","ICTVonline=201856332")</f>
        <v>ICTVonline=201856332</v>
      </c>
      <c r="AA4878" s="1">
        <v>201850000</v>
      </c>
      <c r="AB4878" s="1">
        <v>34</v>
      </c>
    </row>
    <row r="4879" spans="1:28" x14ac:dyDescent="0.15">
      <c r="A4879" s="1">
        <v>12077</v>
      </c>
      <c r="L4879" s="1" t="s">
        <v>1421</v>
      </c>
      <c r="M4879" s="1" t="s">
        <v>4139</v>
      </c>
      <c r="N4879" s="1" t="s">
        <v>1024</v>
      </c>
      <c r="P4879" s="1" t="s">
        <v>7087</v>
      </c>
      <c r="Q4879" s="3">
        <v>0</v>
      </c>
      <c r="S4879" s="23" t="s">
        <v>5949</v>
      </c>
      <c r="T4879" s="23" t="s">
        <v>4929</v>
      </c>
      <c r="U4879" s="3">
        <v>34</v>
      </c>
      <c r="V4879" s="3" t="s">
        <v>7086</v>
      </c>
      <c r="W4879" s="45" t="str">
        <f>HYPERLINK("http://ictvonline.org/taxonomy/p/taxonomy-history?taxnode_id=201856333","ICTVonline=201856333")</f>
        <v>ICTVonline=201856333</v>
      </c>
      <c r="AA4879" s="1">
        <v>201850000</v>
      </c>
      <c r="AB4879" s="1">
        <v>34</v>
      </c>
    </row>
    <row r="4880" spans="1:28" x14ac:dyDescent="0.15">
      <c r="A4880" s="1">
        <v>12081</v>
      </c>
      <c r="L4880" s="1" t="s">
        <v>1421</v>
      </c>
      <c r="M4880" s="1" t="s">
        <v>4139</v>
      </c>
      <c r="N4880" s="1" t="s">
        <v>1026</v>
      </c>
      <c r="P4880" s="1" t="s">
        <v>1027</v>
      </c>
      <c r="Q4880" s="3">
        <v>1</v>
      </c>
      <c r="S4880" s="23" t="s">
        <v>5949</v>
      </c>
      <c r="W4880" s="45" t="str">
        <f>HYPERLINK("http://ictvonline.org/taxonomy/p/taxonomy-history?taxnode_id=201853730","ICTVonline=201853730")</f>
        <v>ICTVonline=201853730</v>
      </c>
      <c r="AA4880" s="1">
        <v>201850000</v>
      </c>
      <c r="AB4880" s="1">
        <v>34</v>
      </c>
    </row>
    <row r="4881" spans="1:28" x14ac:dyDescent="0.15">
      <c r="A4881" s="1">
        <v>12083</v>
      </c>
      <c r="L4881" s="1" t="s">
        <v>1421</v>
      </c>
      <c r="M4881" s="1" t="s">
        <v>4139</v>
      </c>
      <c r="N4881" s="1" t="s">
        <v>1026</v>
      </c>
      <c r="P4881" s="1" t="s">
        <v>7088</v>
      </c>
      <c r="Q4881" s="3">
        <v>0</v>
      </c>
      <c r="S4881" s="23" t="s">
        <v>5949</v>
      </c>
      <c r="T4881" s="23" t="s">
        <v>4929</v>
      </c>
      <c r="U4881" s="3">
        <v>34</v>
      </c>
      <c r="V4881" s="3" t="s">
        <v>7086</v>
      </c>
      <c r="W4881" s="45" t="str">
        <f>HYPERLINK("http://ictvonline.org/taxonomy/p/taxonomy-history?taxnode_id=201856331","ICTVonline=201856331")</f>
        <v>ICTVonline=201856331</v>
      </c>
      <c r="AA4881" s="1">
        <v>201850000</v>
      </c>
      <c r="AB4881" s="1">
        <v>34</v>
      </c>
    </row>
    <row r="4882" spans="1:28" x14ac:dyDescent="0.15">
      <c r="A4882" s="1">
        <v>12087</v>
      </c>
      <c r="L4882" s="1" t="s">
        <v>1421</v>
      </c>
      <c r="M4882" s="1" t="s">
        <v>4139</v>
      </c>
      <c r="N4882" s="1" t="s">
        <v>1028</v>
      </c>
      <c r="P4882" s="1" t="s">
        <v>1029</v>
      </c>
      <c r="Q4882" s="3">
        <v>0</v>
      </c>
      <c r="S4882" s="23" t="s">
        <v>5949</v>
      </c>
      <c r="W4882" s="45" t="str">
        <f>HYPERLINK("http://ictvonline.org/taxonomy/p/taxonomy-history?taxnode_id=201853732","ICTVonline=201853732")</f>
        <v>ICTVonline=201853732</v>
      </c>
      <c r="AA4882" s="1">
        <v>201850000</v>
      </c>
      <c r="AB4882" s="1">
        <v>34</v>
      </c>
    </row>
    <row r="4883" spans="1:28" x14ac:dyDescent="0.15">
      <c r="A4883" s="1">
        <v>12089</v>
      </c>
      <c r="L4883" s="1" t="s">
        <v>1421</v>
      </c>
      <c r="M4883" s="1" t="s">
        <v>4139</v>
      </c>
      <c r="N4883" s="1" t="s">
        <v>1028</v>
      </c>
      <c r="P4883" s="1" t="s">
        <v>5449</v>
      </c>
      <c r="Q4883" s="3">
        <v>0</v>
      </c>
      <c r="S4883" s="23" t="s">
        <v>5949</v>
      </c>
      <c r="W4883" s="45" t="str">
        <f>HYPERLINK("http://ictvonline.org/taxonomy/p/taxonomy-history?taxnode_id=201855861","ICTVonline=201855861")</f>
        <v>ICTVonline=201855861</v>
      </c>
      <c r="AA4883" s="1">
        <v>201850000</v>
      </c>
      <c r="AB4883" s="1">
        <v>34</v>
      </c>
    </row>
    <row r="4884" spans="1:28" x14ac:dyDescent="0.15">
      <c r="A4884" s="1">
        <v>12091</v>
      </c>
      <c r="L4884" s="1" t="s">
        <v>1421</v>
      </c>
      <c r="M4884" s="1" t="s">
        <v>4139</v>
      </c>
      <c r="N4884" s="1" t="s">
        <v>1028</v>
      </c>
      <c r="P4884" s="1" t="s">
        <v>1104</v>
      </c>
      <c r="Q4884" s="3">
        <v>0</v>
      </c>
      <c r="S4884" s="23" t="s">
        <v>5949</v>
      </c>
      <c r="W4884" s="45" t="str">
        <f>HYPERLINK("http://ictvonline.org/taxonomy/p/taxonomy-history?taxnode_id=201853734","ICTVonline=201853734")</f>
        <v>ICTVonline=201853734</v>
      </c>
      <c r="AA4884" s="1">
        <v>201850000</v>
      </c>
      <c r="AB4884" s="1">
        <v>34</v>
      </c>
    </row>
    <row r="4885" spans="1:28" x14ac:dyDescent="0.15">
      <c r="A4885" s="1">
        <v>12093</v>
      </c>
      <c r="L4885" s="1" t="s">
        <v>1421</v>
      </c>
      <c r="M4885" s="1" t="s">
        <v>4139</v>
      </c>
      <c r="N4885" s="1" t="s">
        <v>1028</v>
      </c>
      <c r="P4885" s="1" t="s">
        <v>1105</v>
      </c>
      <c r="Q4885" s="3">
        <v>1</v>
      </c>
      <c r="S4885" s="23" t="s">
        <v>5949</v>
      </c>
      <c r="W4885" s="45" t="str">
        <f>HYPERLINK("http://ictvonline.org/taxonomy/p/taxonomy-history?taxnode_id=201853736","ICTVonline=201853736")</f>
        <v>ICTVonline=201853736</v>
      </c>
      <c r="AA4885" s="1">
        <v>201850000</v>
      </c>
      <c r="AB4885" s="1">
        <v>34</v>
      </c>
    </row>
    <row r="4886" spans="1:28" x14ac:dyDescent="0.15">
      <c r="A4886" s="1">
        <v>12095</v>
      </c>
      <c r="L4886" s="1" t="s">
        <v>1421</v>
      </c>
      <c r="M4886" s="1" t="s">
        <v>4139</v>
      </c>
      <c r="N4886" s="1" t="s">
        <v>1028</v>
      </c>
      <c r="P4886" s="1" t="s">
        <v>1106</v>
      </c>
      <c r="Q4886" s="3">
        <v>0</v>
      </c>
      <c r="S4886" s="23" t="s">
        <v>5949</v>
      </c>
      <c r="W4886" s="45" t="str">
        <f>HYPERLINK("http://ictvonline.org/taxonomy/p/taxonomy-history?taxnode_id=201853737","ICTVonline=201853737")</f>
        <v>ICTVonline=201853737</v>
      </c>
      <c r="AA4886" s="1">
        <v>201850000</v>
      </c>
      <c r="AB4886" s="1">
        <v>34</v>
      </c>
    </row>
    <row r="4887" spans="1:28" x14ac:dyDescent="0.15">
      <c r="A4887" s="1">
        <v>12097</v>
      </c>
      <c r="L4887" s="1" t="s">
        <v>1421</v>
      </c>
      <c r="M4887" s="1" t="s">
        <v>4139</v>
      </c>
      <c r="N4887" s="1" t="s">
        <v>1028</v>
      </c>
      <c r="P4887" s="1" t="s">
        <v>4813</v>
      </c>
      <c r="Q4887" s="3">
        <v>0</v>
      </c>
      <c r="S4887" s="23" t="s">
        <v>5949</v>
      </c>
      <c r="W4887" s="45" t="str">
        <f>HYPERLINK("http://ictvonline.org/taxonomy/p/taxonomy-history?taxnode_id=201853738","ICTVonline=201853738")</f>
        <v>ICTVonline=201853738</v>
      </c>
      <c r="AA4887" s="1">
        <v>201850000</v>
      </c>
      <c r="AB4887" s="1">
        <v>34</v>
      </c>
    </row>
    <row r="4888" spans="1:28" x14ac:dyDescent="0.15">
      <c r="A4888" s="1">
        <v>12103</v>
      </c>
      <c r="L4888" s="1" t="s">
        <v>1421</v>
      </c>
      <c r="M4888" s="1" t="s">
        <v>4140</v>
      </c>
      <c r="N4888" s="1" t="s">
        <v>1422</v>
      </c>
      <c r="P4888" s="1" t="s">
        <v>7089</v>
      </c>
      <c r="Q4888" s="3">
        <v>0</v>
      </c>
      <c r="S4888" s="23" t="s">
        <v>5949</v>
      </c>
      <c r="T4888" s="23" t="s">
        <v>4929</v>
      </c>
      <c r="U4888" s="3">
        <v>34</v>
      </c>
      <c r="V4888" s="3" t="s">
        <v>7086</v>
      </c>
      <c r="W4888" s="45" t="str">
        <f>HYPERLINK("http://ictvonline.org/taxonomy/p/taxonomy-history?taxnode_id=201856338","ICTVonline=201856338")</f>
        <v>ICTVonline=201856338</v>
      </c>
      <c r="AA4888" s="1">
        <v>201850000</v>
      </c>
      <c r="AB4888" s="1">
        <v>34</v>
      </c>
    </row>
    <row r="4889" spans="1:28" x14ac:dyDescent="0.15">
      <c r="A4889" s="1">
        <v>12105</v>
      </c>
      <c r="L4889" s="1" t="s">
        <v>1421</v>
      </c>
      <c r="M4889" s="1" t="s">
        <v>4140</v>
      </c>
      <c r="N4889" s="1" t="s">
        <v>1422</v>
      </c>
      <c r="P4889" s="1" t="s">
        <v>1423</v>
      </c>
      <c r="Q4889" s="3">
        <v>1</v>
      </c>
      <c r="S4889" s="23" t="s">
        <v>5949</v>
      </c>
      <c r="W4889" s="45" t="str">
        <f>HYPERLINK("http://ictvonline.org/taxonomy/p/taxonomy-history?taxnode_id=201853741","ICTVonline=201853741")</f>
        <v>ICTVonline=201853741</v>
      </c>
      <c r="AA4889" s="1">
        <v>201850000</v>
      </c>
      <c r="AB4889" s="1">
        <v>34</v>
      </c>
    </row>
    <row r="4890" spans="1:28" x14ac:dyDescent="0.15">
      <c r="A4890" s="1">
        <v>12107</v>
      </c>
      <c r="L4890" s="1" t="s">
        <v>1421</v>
      </c>
      <c r="M4890" s="1" t="s">
        <v>4140</v>
      </c>
      <c r="N4890" s="1" t="s">
        <v>1422</v>
      </c>
      <c r="P4890" s="1" t="s">
        <v>7090</v>
      </c>
      <c r="Q4890" s="3">
        <v>0</v>
      </c>
      <c r="S4890" s="23" t="s">
        <v>5949</v>
      </c>
      <c r="T4890" s="23" t="s">
        <v>4929</v>
      </c>
      <c r="U4890" s="3">
        <v>34</v>
      </c>
      <c r="V4890" s="3" t="s">
        <v>7086</v>
      </c>
      <c r="W4890" s="45" t="str">
        <f>HYPERLINK("http://ictvonline.org/taxonomy/p/taxonomy-history?taxnode_id=201856336","ICTVonline=201856336")</f>
        <v>ICTVonline=201856336</v>
      </c>
      <c r="AA4890" s="1">
        <v>201850000</v>
      </c>
      <c r="AB4890" s="1">
        <v>34</v>
      </c>
    </row>
    <row r="4891" spans="1:28" x14ac:dyDescent="0.15">
      <c r="A4891" s="1">
        <v>12109</v>
      </c>
      <c r="L4891" s="1" t="s">
        <v>1421</v>
      </c>
      <c r="M4891" s="1" t="s">
        <v>4140</v>
      </c>
      <c r="N4891" s="1" t="s">
        <v>1422</v>
      </c>
      <c r="P4891" s="1" t="s">
        <v>7091</v>
      </c>
      <c r="Q4891" s="3">
        <v>0</v>
      </c>
      <c r="S4891" s="23" t="s">
        <v>5949</v>
      </c>
      <c r="T4891" s="23" t="s">
        <v>4929</v>
      </c>
      <c r="U4891" s="3">
        <v>34</v>
      </c>
      <c r="V4891" s="3" t="s">
        <v>7086</v>
      </c>
      <c r="W4891" s="45" t="str">
        <f>HYPERLINK("http://ictvonline.org/taxonomy/p/taxonomy-history?taxnode_id=201856335","ICTVonline=201856335")</f>
        <v>ICTVonline=201856335</v>
      </c>
      <c r="AA4891" s="1">
        <v>201850000</v>
      </c>
      <c r="AB4891" s="1">
        <v>34</v>
      </c>
    </row>
    <row r="4892" spans="1:28" x14ac:dyDescent="0.15">
      <c r="A4892" s="1">
        <v>12111</v>
      </c>
      <c r="L4892" s="1" t="s">
        <v>1421</v>
      </c>
      <c r="M4892" s="1" t="s">
        <v>4140</v>
      </c>
      <c r="N4892" s="1" t="s">
        <v>1422</v>
      </c>
      <c r="P4892" s="1" t="s">
        <v>7092</v>
      </c>
      <c r="Q4892" s="3">
        <v>0</v>
      </c>
      <c r="S4892" s="23" t="s">
        <v>5949</v>
      </c>
      <c r="T4892" s="23" t="s">
        <v>4929</v>
      </c>
      <c r="U4892" s="3">
        <v>34</v>
      </c>
      <c r="V4892" s="3" t="s">
        <v>7086</v>
      </c>
      <c r="W4892" s="45" t="str">
        <f>HYPERLINK("http://ictvonline.org/taxonomy/p/taxonomy-history?taxnode_id=201856337","ICTVonline=201856337")</f>
        <v>ICTVonline=201856337</v>
      </c>
      <c r="AA4892" s="1">
        <v>201850000</v>
      </c>
      <c r="AB4892" s="1">
        <v>34</v>
      </c>
    </row>
    <row r="4893" spans="1:28" x14ac:dyDescent="0.15">
      <c r="A4893" s="1">
        <v>12115</v>
      </c>
      <c r="L4893" s="1" t="s">
        <v>1421</v>
      </c>
      <c r="M4893" s="1" t="s">
        <v>4140</v>
      </c>
      <c r="N4893" s="1" t="s">
        <v>7093</v>
      </c>
      <c r="P4893" s="1" t="s">
        <v>7094</v>
      </c>
      <c r="Q4893" s="3">
        <v>1</v>
      </c>
      <c r="S4893" s="23" t="s">
        <v>5949</v>
      </c>
      <c r="T4893" s="23" t="s">
        <v>4929</v>
      </c>
      <c r="U4893" s="3">
        <v>34</v>
      </c>
      <c r="V4893" s="3" t="s">
        <v>7095</v>
      </c>
      <c r="W4893" s="45" t="str">
        <f>HYPERLINK("http://ictvonline.org/taxonomy/p/taxonomy-history?taxnode_id=201856295","ICTVonline=201856295")</f>
        <v>ICTVonline=201856295</v>
      </c>
      <c r="AA4893" s="1">
        <v>201850000</v>
      </c>
      <c r="AB4893" s="1">
        <v>34</v>
      </c>
    </row>
    <row r="4894" spans="1:28" x14ac:dyDescent="0.15">
      <c r="A4894" s="1">
        <v>12119</v>
      </c>
      <c r="L4894" s="1" t="s">
        <v>1421</v>
      </c>
      <c r="M4894" s="1" t="s">
        <v>4140</v>
      </c>
      <c r="N4894" s="1" t="s">
        <v>1030</v>
      </c>
      <c r="P4894" s="1" t="s">
        <v>1023</v>
      </c>
      <c r="Q4894" s="3">
        <v>1</v>
      </c>
      <c r="S4894" s="23" t="s">
        <v>5949</v>
      </c>
      <c r="W4894" s="45" t="str">
        <f>HYPERLINK("http://ictvonline.org/taxonomy/p/taxonomy-history?taxnode_id=201853744","ICTVonline=201853744")</f>
        <v>ICTVonline=201853744</v>
      </c>
      <c r="AA4894" s="1">
        <v>201850000</v>
      </c>
      <c r="AB4894" s="1">
        <v>34</v>
      </c>
    </row>
    <row r="4895" spans="1:28" x14ac:dyDescent="0.15">
      <c r="A4895" s="1">
        <v>12121</v>
      </c>
      <c r="L4895" s="1" t="s">
        <v>1421</v>
      </c>
      <c r="M4895" s="1" t="s">
        <v>4140</v>
      </c>
      <c r="N4895" s="1" t="s">
        <v>1030</v>
      </c>
      <c r="P4895" s="1" t="s">
        <v>7096</v>
      </c>
      <c r="Q4895" s="3">
        <v>0</v>
      </c>
      <c r="S4895" s="23" t="s">
        <v>5949</v>
      </c>
      <c r="T4895" s="23" t="s">
        <v>4929</v>
      </c>
      <c r="U4895" s="3">
        <v>34</v>
      </c>
      <c r="V4895" s="3" t="s">
        <v>7086</v>
      </c>
      <c r="W4895" s="45" t="str">
        <f>HYPERLINK("http://ictvonline.org/taxonomy/p/taxonomy-history?taxnode_id=201856334","ICTVonline=201856334")</f>
        <v>ICTVonline=201856334</v>
      </c>
      <c r="AA4895" s="1">
        <v>201850000</v>
      </c>
      <c r="AB4895" s="1">
        <v>34</v>
      </c>
    </row>
    <row r="4896" spans="1:28" x14ac:dyDescent="0.15">
      <c r="A4896" s="1">
        <v>12128</v>
      </c>
      <c r="L4896" s="1" t="s">
        <v>7097</v>
      </c>
      <c r="N4896" s="1" t="s">
        <v>4920</v>
      </c>
      <c r="P4896" s="1" t="s">
        <v>4921</v>
      </c>
      <c r="Q4896" s="3">
        <v>1</v>
      </c>
      <c r="S4896" s="23" t="s">
        <v>5949</v>
      </c>
      <c r="T4896" s="23" t="s">
        <v>4931</v>
      </c>
      <c r="U4896" s="3">
        <v>34</v>
      </c>
      <c r="W4896" s="45" t="str">
        <f>HYPERLINK("http://ictvonline.org/taxonomy/p/taxonomy-history?taxnode_id=201855341","ICTVonline=201855341")</f>
        <v>ICTVonline=201855341</v>
      </c>
      <c r="AA4896" s="1">
        <v>201850000</v>
      </c>
      <c r="AB4896" s="1">
        <v>34</v>
      </c>
    </row>
    <row r="4897" spans="1:28" x14ac:dyDescent="0.15">
      <c r="A4897" s="1">
        <v>12132</v>
      </c>
      <c r="L4897" s="1" t="s">
        <v>7097</v>
      </c>
      <c r="N4897" s="1" t="s">
        <v>1993</v>
      </c>
      <c r="P4897" s="1" t="s">
        <v>1994</v>
      </c>
      <c r="Q4897" s="3">
        <v>1</v>
      </c>
      <c r="S4897" s="23" t="s">
        <v>5949</v>
      </c>
      <c r="T4897" s="23" t="s">
        <v>4931</v>
      </c>
      <c r="U4897" s="3">
        <v>34</v>
      </c>
      <c r="W4897" s="45" t="str">
        <f>HYPERLINK("http://ictvonline.org/taxonomy/p/taxonomy-history?taxnode_id=201855345","ICTVonline=201855345")</f>
        <v>ICTVonline=201855345</v>
      </c>
      <c r="AA4897" s="1">
        <v>201850000</v>
      </c>
      <c r="AB4897" s="1">
        <v>34</v>
      </c>
    </row>
    <row r="4898" spans="1:28" x14ac:dyDescent="0.15">
      <c r="A4898" s="1">
        <v>12134</v>
      </c>
      <c r="L4898" s="1" t="s">
        <v>7097</v>
      </c>
      <c r="N4898" s="1" t="s">
        <v>1993</v>
      </c>
      <c r="P4898" s="1" t="s">
        <v>4922</v>
      </c>
      <c r="Q4898" s="3">
        <v>0</v>
      </c>
      <c r="S4898" s="23" t="s">
        <v>5949</v>
      </c>
      <c r="T4898" s="23" t="s">
        <v>4931</v>
      </c>
      <c r="U4898" s="3">
        <v>34</v>
      </c>
      <c r="W4898" s="45" t="str">
        <f>HYPERLINK("http://ictvonline.org/taxonomy/p/taxonomy-history?taxnode_id=201855346","ICTVonline=201855346")</f>
        <v>ICTVonline=201855346</v>
      </c>
      <c r="AA4898" s="1">
        <v>201850000</v>
      </c>
      <c r="AB4898" s="1">
        <v>34</v>
      </c>
    </row>
    <row r="4899" spans="1:28" x14ac:dyDescent="0.15">
      <c r="A4899" s="1">
        <v>12138</v>
      </c>
      <c r="L4899" s="1" t="s">
        <v>7097</v>
      </c>
      <c r="N4899" s="1" t="s">
        <v>2623</v>
      </c>
      <c r="P4899" s="1" t="s">
        <v>2624</v>
      </c>
      <c r="Q4899" s="3">
        <v>1</v>
      </c>
      <c r="S4899" s="23" t="s">
        <v>5949</v>
      </c>
      <c r="T4899" s="23" t="s">
        <v>4931</v>
      </c>
      <c r="U4899" s="3">
        <v>34</v>
      </c>
      <c r="W4899" s="45" t="str">
        <f>HYPERLINK("http://ictvonline.org/taxonomy/p/taxonomy-history?taxnode_id=201855352","ICTVonline=201855352")</f>
        <v>ICTVonline=201855352</v>
      </c>
      <c r="AA4899" s="1">
        <v>201850000</v>
      </c>
      <c r="AB4899" s="1">
        <v>34</v>
      </c>
    </row>
    <row r="4900" spans="1:28" x14ac:dyDescent="0.15">
      <c r="A4900" s="1">
        <v>12144</v>
      </c>
      <c r="L4900" s="1" t="s">
        <v>3847</v>
      </c>
      <c r="N4900" s="1" t="s">
        <v>3848</v>
      </c>
      <c r="P4900" s="1" t="s">
        <v>3849</v>
      </c>
      <c r="Q4900" s="3">
        <v>1</v>
      </c>
      <c r="S4900" s="23" t="s">
        <v>5949</v>
      </c>
      <c r="W4900" s="45" t="str">
        <f>HYPERLINK("http://ictvonline.org/taxonomy/p/taxonomy-history?taxnode_id=201853747","ICTVonline=201853747")</f>
        <v>ICTVonline=201853747</v>
      </c>
      <c r="AA4900" s="1">
        <v>201850000</v>
      </c>
      <c r="AB4900" s="1">
        <v>34</v>
      </c>
    </row>
    <row r="4901" spans="1:28" x14ac:dyDescent="0.15">
      <c r="A4901" s="1">
        <v>12148</v>
      </c>
      <c r="L4901" s="1" t="s">
        <v>3847</v>
      </c>
      <c r="N4901" s="1" t="s">
        <v>3850</v>
      </c>
      <c r="P4901" s="1" t="s">
        <v>3851</v>
      </c>
      <c r="Q4901" s="3">
        <v>1</v>
      </c>
      <c r="S4901" s="23" t="s">
        <v>5949</v>
      </c>
      <c r="W4901" s="45" t="str">
        <f>HYPERLINK("http://ictvonline.org/taxonomy/p/taxonomy-history?taxnode_id=201853749","ICTVonline=201853749")</f>
        <v>ICTVonline=201853749</v>
      </c>
      <c r="AA4901" s="1">
        <v>201850000</v>
      </c>
      <c r="AB4901" s="1">
        <v>34</v>
      </c>
    </row>
    <row r="4902" spans="1:28" x14ac:dyDescent="0.15">
      <c r="A4902" s="1">
        <v>12150</v>
      </c>
      <c r="L4902" s="1" t="s">
        <v>3847</v>
      </c>
      <c r="N4902" s="1" t="s">
        <v>3850</v>
      </c>
      <c r="P4902" s="1" t="s">
        <v>3852</v>
      </c>
      <c r="Q4902" s="3">
        <v>0</v>
      </c>
      <c r="S4902" s="23" t="s">
        <v>5949</v>
      </c>
      <c r="W4902" s="45" t="str">
        <f>HYPERLINK("http://ictvonline.org/taxonomy/p/taxonomy-history?taxnode_id=201853750","ICTVonline=201853750")</f>
        <v>ICTVonline=201853750</v>
      </c>
      <c r="AA4902" s="1">
        <v>201850000</v>
      </c>
      <c r="AB4902" s="1">
        <v>34</v>
      </c>
    </row>
    <row r="4903" spans="1:28" x14ac:dyDescent="0.15">
      <c r="A4903" s="1">
        <v>12156</v>
      </c>
      <c r="L4903" s="1" t="s">
        <v>2471</v>
      </c>
      <c r="N4903" s="1" t="s">
        <v>2472</v>
      </c>
      <c r="P4903" s="1" t="s">
        <v>2473</v>
      </c>
      <c r="Q4903" s="3">
        <v>1</v>
      </c>
      <c r="S4903" s="23" t="s">
        <v>5949</v>
      </c>
      <c r="W4903" s="45" t="str">
        <f>HYPERLINK("http://ictvonline.org/taxonomy/p/taxonomy-history?taxnode_id=201853802","ICTVonline=201853802")</f>
        <v>ICTVonline=201853802</v>
      </c>
      <c r="AA4903" s="1">
        <v>201850000</v>
      </c>
      <c r="AB4903" s="1">
        <v>34</v>
      </c>
    </row>
    <row r="4904" spans="1:28" x14ac:dyDescent="0.15">
      <c r="A4904" s="1">
        <v>12158</v>
      </c>
      <c r="L4904" s="1" t="s">
        <v>2471</v>
      </c>
      <c r="N4904" s="1" t="s">
        <v>2472</v>
      </c>
      <c r="P4904" s="1" t="s">
        <v>2474</v>
      </c>
      <c r="Q4904" s="3">
        <v>0</v>
      </c>
      <c r="S4904" s="23" t="s">
        <v>5949</v>
      </c>
      <c r="W4904" s="45" t="str">
        <f>HYPERLINK("http://ictvonline.org/taxonomy/p/taxonomy-history?taxnode_id=201853803","ICTVonline=201853803")</f>
        <v>ICTVonline=201853803</v>
      </c>
      <c r="AA4904" s="1">
        <v>201850000</v>
      </c>
      <c r="AB4904" s="1">
        <v>34</v>
      </c>
    </row>
    <row r="4905" spans="1:28" x14ac:dyDescent="0.15">
      <c r="A4905" s="1">
        <v>12161</v>
      </c>
      <c r="L4905" s="1" t="s">
        <v>2471</v>
      </c>
      <c r="P4905" s="1" t="s">
        <v>2475</v>
      </c>
      <c r="Q4905" s="3">
        <v>0</v>
      </c>
      <c r="S4905" s="23" t="s">
        <v>5949</v>
      </c>
      <c r="W4905" s="45" t="str">
        <f>HYPERLINK("http://ictvonline.org/taxonomy/p/taxonomy-history?taxnode_id=201853805","ICTVonline=201853805")</f>
        <v>ICTVonline=201853805</v>
      </c>
      <c r="AA4905" s="1">
        <v>201850000</v>
      </c>
      <c r="AB4905" s="1">
        <v>34</v>
      </c>
    </row>
    <row r="4906" spans="1:28" x14ac:dyDescent="0.15">
      <c r="A4906" s="1">
        <v>12163</v>
      </c>
      <c r="L4906" s="1" t="s">
        <v>2471</v>
      </c>
      <c r="P4906" s="1" t="s">
        <v>2476</v>
      </c>
      <c r="Q4906" s="3">
        <v>0</v>
      </c>
      <c r="S4906" s="23" t="s">
        <v>5949</v>
      </c>
      <c r="W4906" s="45" t="str">
        <f>HYPERLINK("http://ictvonline.org/taxonomy/p/taxonomy-history?taxnode_id=201853806","ICTVonline=201853806")</f>
        <v>ICTVonline=201853806</v>
      </c>
      <c r="AA4906" s="1">
        <v>201850000</v>
      </c>
      <c r="AB4906" s="1">
        <v>34</v>
      </c>
    </row>
    <row r="4907" spans="1:28" x14ac:dyDescent="0.15">
      <c r="A4907" s="1">
        <v>12168</v>
      </c>
      <c r="L4907" s="1" t="s">
        <v>7113</v>
      </c>
      <c r="N4907" s="1" t="s">
        <v>1811</v>
      </c>
      <c r="P4907" s="1" t="s">
        <v>1812</v>
      </c>
      <c r="Q4907" s="3">
        <v>1</v>
      </c>
      <c r="S4907" s="23" t="s">
        <v>5949</v>
      </c>
      <c r="T4907" s="23" t="s">
        <v>4931</v>
      </c>
      <c r="U4907" s="3">
        <v>34</v>
      </c>
      <c r="W4907" s="45" t="str">
        <f>HYPERLINK("http://ictvonline.org/taxonomy/p/taxonomy-history?taxnode_id=201855115","ICTVonline=201855115")</f>
        <v>ICTVonline=201855115</v>
      </c>
      <c r="AA4907" s="1">
        <v>201850000</v>
      </c>
      <c r="AB4907" s="1">
        <v>34</v>
      </c>
    </row>
    <row r="4908" spans="1:28" x14ac:dyDescent="0.15">
      <c r="A4908" s="1">
        <v>12175</v>
      </c>
      <c r="L4908" s="1" t="s">
        <v>1682</v>
      </c>
      <c r="M4908" s="1" t="s">
        <v>3857</v>
      </c>
      <c r="N4908" s="1" t="s">
        <v>7114</v>
      </c>
      <c r="P4908" s="1" t="s">
        <v>3858</v>
      </c>
      <c r="Q4908" s="3">
        <v>1</v>
      </c>
      <c r="S4908" s="23" t="s">
        <v>5949</v>
      </c>
      <c r="T4908" s="23" t="s">
        <v>4931</v>
      </c>
      <c r="U4908" s="3">
        <v>34</v>
      </c>
      <c r="W4908" s="45" t="str">
        <f>HYPERLINK("http://ictvonline.org/taxonomy/p/taxonomy-history?taxnode_id=201853858","ICTVonline=201853858")</f>
        <v>ICTVonline=201853858</v>
      </c>
      <c r="AA4908" s="1">
        <v>201850000</v>
      </c>
      <c r="AB4908" s="1">
        <v>34</v>
      </c>
    </row>
    <row r="4909" spans="1:28" x14ac:dyDescent="0.15">
      <c r="A4909" s="1">
        <v>12177</v>
      </c>
      <c r="L4909" s="1" t="s">
        <v>1682</v>
      </c>
      <c r="M4909" s="1" t="s">
        <v>3857</v>
      </c>
      <c r="N4909" s="1" t="s">
        <v>7114</v>
      </c>
      <c r="P4909" s="1" t="s">
        <v>3859</v>
      </c>
      <c r="Q4909" s="3">
        <v>0</v>
      </c>
      <c r="S4909" s="23" t="s">
        <v>5949</v>
      </c>
      <c r="T4909" s="23" t="s">
        <v>4931</v>
      </c>
      <c r="U4909" s="3">
        <v>34</v>
      </c>
      <c r="W4909" s="45" t="str">
        <f>HYPERLINK("http://ictvonline.org/taxonomy/p/taxonomy-history?taxnode_id=201853859","ICTVonline=201853859")</f>
        <v>ICTVonline=201853859</v>
      </c>
      <c r="AA4909" s="1">
        <v>201850000</v>
      </c>
      <c r="AB4909" s="1">
        <v>34</v>
      </c>
    </row>
    <row r="4910" spans="1:28" x14ac:dyDescent="0.15">
      <c r="A4910" s="1">
        <v>12179</v>
      </c>
      <c r="L4910" s="1" t="s">
        <v>1682</v>
      </c>
      <c r="M4910" s="1" t="s">
        <v>3857</v>
      </c>
      <c r="N4910" s="1" t="s">
        <v>7114</v>
      </c>
      <c r="P4910" s="1" t="s">
        <v>3860</v>
      </c>
      <c r="Q4910" s="3">
        <v>0</v>
      </c>
      <c r="S4910" s="23" t="s">
        <v>5949</v>
      </c>
      <c r="T4910" s="23" t="s">
        <v>4931</v>
      </c>
      <c r="U4910" s="3">
        <v>34</v>
      </c>
      <c r="W4910" s="45" t="str">
        <f>HYPERLINK("http://ictvonline.org/taxonomy/p/taxonomy-history?taxnode_id=201853860","ICTVonline=201853860")</f>
        <v>ICTVonline=201853860</v>
      </c>
      <c r="AA4910" s="1">
        <v>201850000</v>
      </c>
      <c r="AB4910" s="1">
        <v>34</v>
      </c>
    </row>
    <row r="4911" spans="1:28" x14ac:dyDescent="0.15">
      <c r="A4911" s="1">
        <v>12181</v>
      </c>
      <c r="L4911" s="1" t="s">
        <v>1682</v>
      </c>
      <c r="M4911" s="1" t="s">
        <v>3857</v>
      </c>
      <c r="N4911" s="1" t="s">
        <v>7114</v>
      </c>
      <c r="P4911" s="1" t="s">
        <v>3861</v>
      </c>
      <c r="Q4911" s="3">
        <v>0</v>
      </c>
      <c r="S4911" s="23" t="s">
        <v>5949</v>
      </c>
      <c r="T4911" s="23" t="s">
        <v>4931</v>
      </c>
      <c r="U4911" s="3">
        <v>34</v>
      </c>
      <c r="W4911" s="45" t="str">
        <f>HYPERLINK("http://ictvonline.org/taxonomy/p/taxonomy-history?taxnode_id=201853861","ICTVonline=201853861")</f>
        <v>ICTVonline=201853861</v>
      </c>
      <c r="AA4911" s="1">
        <v>201850000</v>
      </c>
      <c r="AB4911" s="1">
        <v>34</v>
      </c>
    </row>
    <row r="4912" spans="1:28" x14ac:dyDescent="0.15">
      <c r="A4912" s="1">
        <v>12183</v>
      </c>
      <c r="L4912" s="1" t="s">
        <v>1682</v>
      </c>
      <c r="M4912" s="1" t="s">
        <v>3857</v>
      </c>
      <c r="N4912" s="1" t="s">
        <v>7114</v>
      </c>
      <c r="P4912" s="1" t="s">
        <v>3862</v>
      </c>
      <c r="Q4912" s="3">
        <v>0</v>
      </c>
      <c r="S4912" s="23" t="s">
        <v>5949</v>
      </c>
      <c r="T4912" s="23" t="s">
        <v>4931</v>
      </c>
      <c r="U4912" s="3">
        <v>34</v>
      </c>
      <c r="W4912" s="45" t="str">
        <f>HYPERLINK("http://ictvonline.org/taxonomy/p/taxonomy-history?taxnode_id=201853862","ICTVonline=201853862")</f>
        <v>ICTVonline=201853862</v>
      </c>
      <c r="AA4912" s="1">
        <v>201850000</v>
      </c>
      <c r="AB4912" s="1">
        <v>34</v>
      </c>
    </row>
    <row r="4913" spans="1:28" x14ac:dyDescent="0.15">
      <c r="A4913" s="1">
        <v>12185</v>
      </c>
      <c r="L4913" s="1" t="s">
        <v>1682</v>
      </c>
      <c r="M4913" s="1" t="s">
        <v>3857</v>
      </c>
      <c r="N4913" s="1" t="s">
        <v>7114</v>
      </c>
      <c r="P4913" s="1" t="s">
        <v>3863</v>
      </c>
      <c r="Q4913" s="3">
        <v>0</v>
      </c>
      <c r="S4913" s="23" t="s">
        <v>5949</v>
      </c>
      <c r="T4913" s="23" t="s">
        <v>4931</v>
      </c>
      <c r="U4913" s="3">
        <v>34</v>
      </c>
      <c r="W4913" s="45" t="str">
        <f>HYPERLINK("http://ictvonline.org/taxonomy/p/taxonomy-history?taxnode_id=201853863","ICTVonline=201853863")</f>
        <v>ICTVonline=201853863</v>
      </c>
      <c r="AA4913" s="1">
        <v>201850000</v>
      </c>
      <c r="AB4913" s="1">
        <v>34</v>
      </c>
    </row>
    <row r="4914" spans="1:28" x14ac:dyDescent="0.15">
      <c r="A4914" s="1">
        <v>12187</v>
      </c>
      <c r="L4914" s="1" t="s">
        <v>1682</v>
      </c>
      <c r="M4914" s="1" t="s">
        <v>3857</v>
      </c>
      <c r="N4914" s="1" t="s">
        <v>7114</v>
      </c>
      <c r="P4914" s="1" t="s">
        <v>3864</v>
      </c>
      <c r="Q4914" s="3">
        <v>0</v>
      </c>
      <c r="S4914" s="23" t="s">
        <v>5949</v>
      </c>
      <c r="T4914" s="23" t="s">
        <v>4931</v>
      </c>
      <c r="U4914" s="3">
        <v>34</v>
      </c>
      <c r="W4914" s="45" t="str">
        <f>HYPERLINK("http://ictvonline.org/taxonomy/p/taxonomy-history?taxnode_id=201853864","ICTVonline=201853864")</f>
        <v>ICTVonline=201853864</v>
      </c>
      <c r="AA4914" s="1">
        <v>201850000</v>
      </c>
      <c r="AB4914" s="1">
        <v>34</v>
      </c>
    </row>
    <row r="4915" spans="1:28" x14ac:dyDescent="0.15">
      <c r="A4915" s="1">
        <v>12189</v>
      </c>
      <c r="L4915" s="1" t="s">
        <v>1682</v>
      </c>
      <c r="M4915" s="1" t="s">
        <v>3857</v>
      </c>
      <c r="N4915" s="1" t="s">
        <v>7114</v>
      </c>
      <c r="P4915" s="1" t="s">
        <v>3865</v>
      </c>
      <c r="Q4915" s="3">
        <v>0</v>
      </c>
      <c r="S4915" s="23" t="s">
        <v>5949</v>
      </c>
      <c r="T4915" s="23" t="s">
        <v>4931</v>
      </c>
      <c r="U4915" s="3">
        <v>34</v>
      </c>
      <c r="W4915" s="45" t="str">
        <f>HYPERLINK("http://ictvonline.org/taxonomy/p/taxonomy-history?taxnode_id=201853865","ICTVonline=201853865")</f>
        <v>ICTVonline=201853865</v>
      </c>
      <c r="AA4915" s="1">
        <v>201850000</v>
      </c>
      <c r="AB4915" s="1">
        <v>34</v>
      </c>
    </row>
    <row r="4916" spans="1:28" x14ac:dyDescent="0.15">
      <c r="A4916" s="1">
        <v>12191</v>
      </c>
      <c r="L4916" s="1" t="s">
        <v>1682</v>
      </c>
      <c r="M4916" s="1" t="s">
        <v>3857</v>
      </c>
      <c r="N4916" s="1" t="s">
        <v>7114</v>
      </c>
      <c r="P4916" s="1" t="s">
        <v>3866</v>
      </c>
      <c r="Q4916" s="3">
        <v>0</v>
      </c>
      <c r="S4916" s="23" t="s">
        <v>5949</v>
      </c>
      <c r="T4916" s="23" t="s">
        <v>4931</v>
      </c>
      <c r="U4916" s="3">
        <v>34</v>
      </c>
      <c r="W4916" s="45" t="str">
        <f>HYPERLINK("http://ictvonline.org/taxonomy/p/taxonomy-history?taxnode_id=201853866","ICTVonline=201853866")</f>
        <v>ICTVonline=201853866</v>
      </c>
      <c r="AA4916" s="1">
        <v>201850000</v>
      </c>
      <c r="AB4916" s="1">
        <v>34</v>
      </c>
    </row>
    <row r="4917" spans="1:28" x14ac:dyDescent="0.15">
      <c r="A4917" s="1">
        <v>12193</v>
      </c>
      <c r="L4917" s="1" t="s">
        <v>1682</v>
      </c>
      <c r="M4917" s="1" t="s">
        <v>3857</v>
      </c>
      <c r="N4917" s="1" t="s">
        <v>7114</v>
      </c>
      <c r="P4917" s="1" t="s">
        <v>3867</v>
      </c>
      <c r="Q4917" s="3">
        <v>0</v>
      </c>
      <c r="S4917" s="23" t="s">
        <v>5949</v>
      </c>
      <c r="T4917" s="23" t="s">
        <v>4931</v>
      </c>
      <c r="U4917" s="3">
        <v>34</v>
      </c>
      <c r="W4917" s="45" t="str">
        <f>HYPERLINK("http://ictvonline.org/taxonomy/p/taxonomy-history?taxnode_id=201853867","ICTVonline=201853867")</f>
        <v>ICTVonline=201853867</v>
      </c>
      <c r="AA4917" s="1">
        <v>201850000</v>
      </c>
      <c r="AB4917" s="1">
        <v>34</v>
      </c>
    </row>
    <row r="4918" spans="1:28" x14ac:dyDescent="0.15">
      <c r="A4918" s="1">
        <v>12197</v>
      </c>
      <c r="L4918" s="1" t="s">
        <v>1682</v>
      </c>
      <c r="M4918" s="1" t="s">
        <v>3857</v>
      </c>
      <c r="N4918" s="1" t="s">
        <v>7115</v>
      </c>
      <c r="P4918" s="1" t="s">
        <v>3868</v>
      </c>
      <c r="Q4918" s="3">
        <v>1</v>
      </c>
      <c r="S4918" s="23" t="s">
        <v>5949</v>
      </c>
      <c r="T4918" s="23" t="s">
        <v>4931</v>
      </c>
      <c r="U4918" s="3">
        <v>34</v>
      </c>
      <c r="W4918" s="45" t="str">
        <f>HYPERLINK("http://ictvonline.org/taxonomy/p/taxonomy-history?taxnode_id=201853869","ICTVonline=201853869")</f>
        <v>ICTVonline=201853869</v>
      </c>
      <c r="AA4918" s="1">
        <v>201850000</v>
      </c>
      <c r="AB4918" s="1">
        <v>34</v>
      </c>
    </row>
    <row r="4919" spans="1:28" x14ac:dyDescent="0.15">
      <c r="A4919" s="1">
        <v>12199</v>
      </c>
      <c r="L4919" s="1" t="s">
        <v>1682</v>
      </c>
      <c r="M4919" s="1" t="s">
        <v>3857</v>
      </c>
      <c r="N4919" s="1" t="s">
        <v>7115</v>
      </c>
      <c r="P4919" s="1" t="s">
        <v>3869</v>
      </c>
      <c r="Q4919" s="3">
        <v>0</v>
      </c>
      <c r="S4919" s="23" t="s">
        <v>5949</v>
      </c>
      <c r="T4919" s="23" t="s">
        <v>4931</v>
      </c>
      <c r="U4919" s="3">
        <v>34</v>
      </c>
      <c r="W4919" s="45" t="str">
        <f>HYPERLINK("http://ictvonline.org/taxonomy/p/taxonomy-history?taxnode_id=201853870","ICTVonline=201853870")</f>
        <v>ICTVonline=201853870</v>
      </c>
      <c r="AA4919" s="1">
        <v>201850000</v>
      </c>
      <c r="AB4919" s="1">
        <v>34</v>
      </c>
    </row>
    <row r="4920" spans="1:28" x14ac:dyDescent="0.15">
      <c r="A4920" s="1">
        <v>12201</v>
      </c>
      <c r="L4920" s="1" t="s">
        <v>1682</v>
      </c>
      <c r="M4920" s="1" t="s">
        <v>3857</v>
      </c>
      <c r="N4920" s="1" t="s">
        <v>7115</v>
      </c>
      <c r="P4920" s="1" t="s">
        <v>3870</v>
      </c>
      <c r="Q4920" s="3">
        <v>0</v>
      </c>
      <c r="S4920" s="23" t="s">
        <v>5949</v>
      </c>
      <c r="T4920" s="23" t="s">
        <v>4931</v>
      </c>
      <c r="U4920" s="3">
        <v>34</v>
      </c>
      <c r="W4920" s="45" t="str">
        <f>HYPERLINK("http://ictvonline.org/taxonomy/p/taxonomy-history?taxnode_id=201853871","ICTVonline=201853871")</f>
        <v>ICTVonline=201853871</v>
      </c>
      <c r="AA4920" s="1">
        <v>201850000</v>
      </c>
      <c r="AB4920" s="1">
        <v>34</v>
      </c>
    </row>
    <row r="4921" spans="1:28" x14ac:dyDescent="0.15">
      <c r="A4921" s="1">
        <v>12205</v>
      </c>
      <c r="L4921" s="1" t="s">
        <v>1682</v>
      </c>
      <c r="M4921" s="1" t="s">
        <v>3857</v>
      </c>
      <c r="N4921" s="1" t="s">
        <v>7116</v>
      </c>
      <c r="P4921" s="1" t="s">
        <v>3871</v>
      </c>
      <c r="Q4921" s="3">
        <v>1</v>
      </c>
      <c r="S4921" s="23" t="s">
        <v>5949</v>
      </c>
      <c r="T4921" s="23" t="s">
        <v>4931</v>
      </c>
      <c r="U4921" s="3">
        <v>34</v>
      </c>
      <c r="W4921" s="45" t="str">
        <f>HYPERLINK("http://ictvonline.org/taxonomy/p/taxonomy-history?taxnode_id=201853873","ICTVonline=201853873")</f>
        <v>ICTVonline=201853873</v>
      </c>
      <c r="AA4921" s="1">
        <v>201850000</v>
      </c>
      <c r="AB4921" s="1">
        <v>34</v>
      </c>
    </row>
    <row r="4922" spans="1:28" x14ac:dyDescent="0.15">
      <c r="A4922" s="1">
        <v>12211</v>
      </c>
      <c r="L4922" s="1" t="s">
        <v>1682</v>
      </c>
      <c r="M4922" s="1" t="s">
        <v>1155</v>
      </c>
      <c r="N4922" s="1" t="s">
        <v>1942</v>
      </c>
      <c r="P4922" s="1" t="s">
        <v>3872</v>
      </c>
      <c r="Q4922" s="3">
        <v>1</v>
      </c>
      <c r="S4922" s="23" t="s">
        <v>5949</v>
      </c>
      <c r="W4922" s="45" t="str">
        <f>HYPERLINK("http://ictvonline.org/taxonomy/p/taxonomy-history?taxnode_id=201853876","ICTVonline=201853876")</f>
        <v>ICTVonline=201853876</v>
      </c>
      <c r="AA4922" s="1">
        <v>201850000</v>
      </c>
      <c r="AB4922" s="1">
        <v>34</v>
      </c>
    </row>
    <row r="4923" spans="1:28" x14ac:dyDescent="0.15">
      <c r="A4923" s="1">
        <v>12213</v>
      </c>
      <c r="L4923" s="1" t="s">
        <v>1682</v>
      </c>
      <c r="M4923" s="1" t="s">
        <v>1155</v>
      </c>
      <c r="N4923" s="1" t="s">
        <v>1942</v>
      </c>
      <c r="P4923" s="1" t="s">
        <v>3873</v>
      </c>
      <c r="Q4923" s="3">
        <v>0</v>
      </c>
      <c r="S4923" s="23" t="s">
        <v>5949</v>
      </c>
      <c r="W4923" s="45" t="str">
        <f>HYPERLINK("http://ictvonline.org/taxonomy/p/taxonomy-history?taxnode_id=201853877","ICTVonline=201853877")</f>
        <v>ICTVonline=201853877</v>
      </c>
      <c r="AA4923" s="1">
        <v>201850000</v>
      </c>
      <c r="AB4923" s="1">
        <v>34</v>
      </c>
    </row>
    <row r="4924" spans="1:28" x14ac:dyDescent="0.15">
      <c r="A4924" s="1">
        <v>12217</v>
      </c>
      <c r="L4924" s="1" t="s">
        <v>1682</v>
      </c>
      <c r="M4924" s="1" t="s">
        <v>1155</v>
      </c>
      <c r="N4924" s="1" t="s">
        <v>1943</v>
      </c>
      <c r="P4924" s="1" t="s">
        <v>3874</v>
      </c>
      <c r="Q4924" s="3">
        <v>1</v>
      </c>
      <c r="S4924" s="23" t="s">
        <v>5949</v>
      </c>
      <c r="W4924" s="45" t="str">
        <f>HYPERLINK("http://ictvonline.org/taxonomy/p/taxonomy-history?taxnode_id=201853879","ICTVonline=201853879")</f>
        <v>ICTVonline=201853879</v>
      </c>
      <c r="AA4924" s="1">
        <v>201850000</v>
      </c>
      <c r="AB4924" s="1">
        <v>34</v>
      </c>
    </row>
    <row r="4925" spans="1:28" x14ac:dyDescent="0.15">
      <c r="A4925" s="1">
        <v>12219</v>
      </c>
      <c r="L4925" s="1" t="s">
        <v>1682</v>
      </c>
      <c r="M4925" s="1" t="s">
        <v>1155</v>
      </c>
      <c r="N4925" s="1" t="s">
        <v>1943</v>
      </c>
      <c r="P4925" s="1" t="s">
        <v>3875</v>
      </c>
      <c r="Q4925" s="3">
        <v>0</v>
      </c>
      <c r="S4925" s="23" t="s">
        <v>5949</v>
      </c>
      <c r="W4925" s="45" t="str">
        <f>HYPERLINK("http://ictvonline.org/taxonomy/p/taxonomy-history?taxnode_id=201853880","ICTVonline=201853880")</f>
        <v>ICTVonline=201853880</v>
      </c>
      <c r="AA4925" s="1">
        <v>201850000</v>
      </c>
      <c r="AB4925" s="1">
        <v>34</v>
      </c>
    </row>
    <row r="4926" spans="1:28" x14ac:dyDescent="0.15">
      <c r="A4926" s="1">
        <v>12221</v>
      </c>
      <c r="L4926" s="1" t="s">
        <v>1682</v>
      </c>
      <c r="M4926" s="1" t="s">
        <v>1155</v>
      </c>
      <c r="N4926" s="1" t="s">
        <v>1943</v>
      </c>
      <c r="P4926" s="1" t="s">
        <v>3876</v>
      </c>
      <c r="Q4926" s="3">
        <v>0</v>
      </c>
      <c r="S4926" s="23" t="s">
        <v>5949</v>
      </c>
      <c r="W4926" s="45" t="str">
        <f>HYPERLINK("http://ictvonline.org/taxonomy/p/taxonomy-history?taxnode_id=201853881","ICTVonline=201853881")</f>
        <v>ICTVonline=201853881</v>
      </c>
      <c r="AA4926" s="1">
        <v>201850000</v>
      </c>
      <c r="AB4926" s="1">
        <v>34</v>
      </c>
    </row>
    <row r="4927" spans="1:28" x14ac:dyDescent="0.15">
      <c r="A4927" s="1">
        <v>12223</v>
      </c>
      <c r="L4927" s="1" t="s">
        <v>1682</v>
      </c>
      <c r="M4927" s="1" t="s">
        <v>1155</v>
      </c>
      <c r="N4927" s="1" t="s">
        <v>1943</v>
      </c>
      <c r="P4927" s="1" t="s">
        <v>3877</v>
      </c>
      <c r="Q4927" s="3">
        <v>0</v>
      </c>
      <c r="S4927" s="23" t="s">
        <v>5949</v>
      </c>
      <c r="W4927" s="45" t="str">
        <f>HYPERLINK("http://ictvonline.org/taxonomy/p/taxonomy-history?taxnode_id=201853882","ICTVonline=201853882")</f>
        <v>ICTVonline=201853882</v>
      </c>
      <c r="AA4927" s="1">
        <v>201850000</v>
      </c>
      <c r="AB4927" s="1">
        <v>34</v>
      </c>
    </row>
    <row r="4928" spans="1:28" x14ac:dyDescent="0.15">
      <c r="A4928" s="1">
        <v>12227</v>
      </c>
      <c r="L4928" s="1" t="s">
        <v>1682</v>
      </c>
      <c r="M4928" s="1" t="s">
        <v>1155</v>
      </c>
      <c r="N4928" s="1" t="s">
        <v>2028</v>
      </c>
      <c r="P4928" s="1" t="s">
        <v>3878</v>
      </c>
      <c r="Q4928" s="3">
        <v>1</v>
      </c>
      <c r="S4928" s="23" t="s">
        <v>5949</v>
      </c>
      <c r="W4928" s="45" t="str">
        <f>HYPERLINK("http://ictvonline.org/taxonomy/p/taxonomy-history?taxnode_id=201853884","ICTVonline=201853884")</f>
        <v>ICTVonline=201853884</v>
      </c>
      <c r="AA4928" s="1">
        <v>201850000</v>
      </c>
      <c r="AB4928" s="1">
        <v>34</v>
      </c>
    </row>
    <row r="4929" spans="1:28" x14ac:dyDescent="0.15">
      <c r="A4929" s="1">
        <v>12234</v>
      </c>
      <c r="L4929" s="1" t="s">
        <v>2029</v>
      </c>
      <c r="N4929" s="1" t="s">
        <v>2267</v>
      </c>
      <c r="P4929" s="1" t="s">
        <v>2268</v>
      </c>
      <c r="Q4929" s="3">
        <v>1</v>
      </c>
      <c r="S4929" s="23" t="s">
        <v>5949</v>
      </c>
      <c r="W4929" s="45" t="str">
        <f>HYPERLINK("http://ictvonline.org/taxonomy/p/taxonomy-history?taxnode_id=201853888","ICTVonline=201853888")</f>
        <v>ICTVonline=201853888</v>
      </c>
      <c r="AA4929" s="1">
        <v>201850000</v>
      </c>
      <c r="AB4929" s="1">
        <v>34</v>
      </c>
    </row>
    <row r="4930" spans="1:28" x14ac:dyDescent="0.15">
      <c r="A4930" s="1">
        <v>12238</v>
      </c>
      <c r="L4930" s="1" t="s">
        <v>2029</v>
      </c>
      <c r="N4930" s="1" t="s">
        <v>2030</v>
      </c>
      <c r="P4930" s="1" t="s">
        <v>2031</v>
      </c>
      <c r="Q4930" s="3">
        <v>1</v>
      </c>
      <c r="S4930" s="23" t="s">
        <v>5949</v>
      </c>
      <c r="W4930" s="45" t="str">
        <f>HYPERLINK("http://ictvonline.org/taxonomy/p/taxonomy-history?taxnode_id=201853890","ICTVonline=201853890")</f>
        <v>ICTVonline=201853890</v>
      </c>
      <c r="AA4930" s="1">
        <v>201850000</v>
      </c>
      <c r="AB4930" s="1">
        <v>34</v>
      </c>
    </row>
    <row r="4931" spans="1:28" x14ac:dyDescent="0.15">
      <c r="A4931" s="1">
        <v>12244</v>
      </c>
      <c r="L4931" s="1" t="s">
        <v>2032</v>
      </c>
      <c r="N4931" s="1" t="s">
        <v>2033</v>
      </c>
      <c r="P4931" s="1" t="s">
        <v>545</v>
      </c>
      <c r="Q4931" s="3">
        <v>0</v>
      </c>
      <c r="S4931" s="23" t="s">
        <v>5949</v>
      </c>
      <c r="W4931" s="45" t="str">
        <f>HYPERLINK("http://ictvonline.org/taxonomy/p/taxonomy-history?taxnode_id=201853894","ICTVonline=201853894")</f>
        <v>ICTVonline=201853894</v>
      </c>
      <c r="AA4931" s="1">
        <v>201850000</v>
      </c>
      <c r="AB4931" s="1">
        <v>34</v>
      </c>
    </row>
    <row r="4932" spans="1:28" x14ac:dyDescent="0.15">
      <c r="A4932" s="1">
        <v>12246</v>
      </c>
      <c r="L4932" s="1" t="s">
        <v>2032</v>
      </c>
      <c r="N4932" s="1" t="s">
        <v>2033</v>
      </c>
      <c r="P4932" s="1" t="s">
        <v>2034</v>
      </c>
      <c r="Q4932" s="3">
        <v>1</v>
      </c>
      <c r="S4932" s="23" t="s">
        <v>5949</v>
      </c>
      <c r="W4932" s="45" t="str">
        <f>HYPERLINK("http://ictvonline.org/taxonomy/p/taxonomy-history?taxnode_id=201853895","ICTVonline=201853895")</f>
        <v>ICTVonline=201853895</v>
      </c>
      <c r="AA4932" s="1">
        <v>201850000</v>
      </c>
      <c r="AB4932" s="1">
        <v>34</v>
      </c>
    </row>
    <row r="4933" spans="1:28" x14ac:dyDescent="0.15">
      <c r="A4933" s="1">
        <v>12248</v>
      </c>
      <c r="L4933" s="1" t="s">
        <v>2032</v>
      </c>
      <c r="N4933" s="1" t="s">
        <v>2033</v>
      </c>
      <c r="P4933" s="1" t="s">
        <v>546</v>
      </c>
      <c r="Q4933" s="3">
        <v>0</v>
      </c>
      <c r="S4933" s="23" t="s">
        <v>5949</v>
      </c>
      <c r="W4933" s="45" t="str">
        <f>HYPERLINK("http://ictvonline.org/taxonomy/p/taxonomy-history?taxnode_id=201853896","ICTVonline=201853896")</f>
        <v>ICTVonline=201853896</v>
      </c>
      <c r="AA4933" s="1">
        <v>201850000</v>
      </c>
      <c r="AB4933" s="1">
        <v>34</v>
      </c>
    </row>
    <row r="4934" spans="1:28" x14ac:dyDescent="0.15">
      <c r="A4934" s="1">
        <v>12252</v>
      </c>
      <c r="L4934" s="1" t="s">
        <v>2032</v>
      </c>
      <c r="N4934" s="1" t="s">
        <v>2035</v>
      </c>
      <c r="P4934" s="1" t="s">
        <v>3879</v>
      </c>
      <c r="Q4934" s="3">
        <v>0</v>
      </c>
      <c r="S4934" s="23" t="s">
        <v>5949</v>
      </c>
      <c r="W4934" s="45" t="str">
        <f>HYPERLINK("http://ictvonline.org/taxonomy/p/taxonomy-history?taxnode_id=201853898","ICTVonline=201853898")</f>
        <v>ICTVonline=201853898</v>
      </c>
      <c r="AA4934" s="1">
        <v>201850000</v>
      </c>
      <c r="AB4934" s="1">
        <v>34</v>
      </c>
    </row>
    <row r="4935" spans="1:28" x14ac:dyDescent="0.15">
      <c r="A4935" s="1">
        <v>12254</v>
      </c>
      <c r="L4935" s="1" t="s">
        <v>2032</v>
      </c>
      <c r="N4935" s="1" t="s">
        <v>2035</v>
      </c>
      <c r="P4935" s="1" t="s">
        <v>104</v>
      </c>
      <c r="Q4935" s="3">
        <v>0</v>
      </c>
      <c r="S4935" s="23" t="s">
        <v>5949</v>
      </c>
      <c r="W4935" s="45" t="str">
        <f>HYPERLINK("http://ictvonline.org/taxonomy/p/taxonomy-history?taxnode_id=201853899","ICTVonline=201853899")</f>
        <v>ICTVonline=201853899</v>
      </c>
      <c r="AA4935" s="1">
        <v>201850000</v>
      </c>
      <c r="AB4935" s="1">
        <v>34</v>
      </c>
    </row>
    <row r="4936" spans="1:28" x14ac:dyDescent="0.15">
      <c r="A4936" s="1">
        <v>12256</v>
      </c>
      <c r="L4936" s="1" t="s">
        <v>2032</v>
      </c>
      <c r="N4936" s="1" t="s">
        <v>2035</v>
      </c>
      <c r="P4936" s="1" t="s">
        <v>1613</v>
      </c>
      <c r="Q4936" s="3">
        <v>0</v>
      </c>
      <c r="S4936" s="23" t="s">
        <v>5949</v>
      </c>
      <c r="W4936" s="45" t="str">
        <f>HYPERLINK("http://ictvonline.org/taxonomy/p/taxonomy-history?taxnode_id=201853900","ICTVonline=201853900")</f>
        <v>ICTVonline=201853900</v>
      </c>
      <c r="AA4936" s="1">
        <v>201850000</v>
      </c>
      <c r="AB4936" s="1">
        <v>34</v>
      </c>
    </row>
    <row r="4937" spans="1:28" x14ac:dyDescent="0.15">
      <c r="A4937" s="1">
        <v>12258</v>
      </c>
      <c r="L4937" s="1" t="s">
        <v>2032</v>
      </c>
      <c r="N4937" s="1" t="s">
        <v>2035</v>
      </c>
      <c r="P4937" s="1" t="s">
        <v>2269</v>
      </c>
      <c r="Q4937" s="3">
        <v>0</v>
      </c>
      <c r="S4937" s="23" t="s">
        <v>5949</v>
      </c>
      <c r="W4937" s="45" t="str">
        <f>HYPERLINK("http://ictvonline.org/taxonomy/p/taxonomy-history?taxnode_id=201853901","ICTVonline=201853901")</f>
        <v>ICTVonline=201853901</v>
      </c>
      <c r="AA4937" s="1">
        <v>201850000</v>
      </c>
      <c r="AB4937" s="1">
        <v>34</v>
      </c>
    </row>
    <row r="4938" spans="1:28" x14ac:dyDescent="0.15">
      <c r="A4938" s="1">
        <v>12260</v>
      </c>
      <c r="L4938" s="1" t="s">
        <v>2032</v>
      </c>
      <c r="N4938" s="1" t="s">
        <v>2035</v>
      </c>
      <c r="P4938" s="1" t="s">
        <v>1086</v>
      </c>
      <c r="Q4938" s="3">
        <v>0</v>
      </c>
      <c r="S4938" s="23" t="s">
        <v>5949</v>
      </c>
      <c r="W4938" s="45" t="str">
        <f>HYPERLINK("http://ictvonline.org/taxonomy/p/taxonomy-history?taxnode_id=201853902","ICTVonline=201853902")</f>
        <v>ICTVonline=201853902</v>
      </c>
      <c r="AA4938" s="1">
        <v>201850000</v>
      </c>
      <c r="AB4938" s="1">
        <v>34</v>
      </c>
    </row>
    <row r="4939" spans="1:28" x14ac:dyDescent="0.15">
      <c r="A4939" s="1">
        <v>12262</v>
      </c>
      <c r="L4939" s="1" t="s">
        <v>2032</v>
      </c>
      <c r="N4939" s="1" t="s">
        <v>2035</v>
      </c>
      <c r="P4939" s="1" t="s">
        <v>105</v>
      </c>
      <c r="Q4939" s="3">
        <v>0</v>
      </c>
      <c r="S4939" s="23" t="s">
        <v>5949</v>
      </c>
      <c r="W4939" s="45" t="str">
        <f>HYPERLINK("http://ictvonline.org/taxonomy/p/taxonomy-history?taxnode_id=201853903","ICTVonline=201853903")</f>
        <v>ICTVonline=201853903</v>
      </c>
      <c r="AA4939" s="1">
        <v>201850000</v>
      </c>
      <c r="AB4939" s="1">
        <v>34</v>
      </c>
    </row>
    <row r="4940" spans="1:28" x14ac:dyDescent="0.15">
      <c r="A4940" s="1">
        <v>12264</v>
      </c>
      <c r="L4940" s="1" t="s">
        <v>2032</v>
      </c>
      <c r="N4940" s="1" t="s">
        <v>2035</v>
      </c>
      <c r="P4940" s="1" t="s">
        <v>3880</v>
      </c>
      <c r="Q4940" s="3">
        <v>0</v>
      </c>
      <c r="S4940" s="23" t="s">
        <v>5949</v>
      </c>
      <c r="W4940" s="45" t="str">
        <f>HYPERLINK("http://ictvonline.org/taxonomy/p/taxonomy-history?taxnode_id=201853904","ICTVonline=201853904")</f>
        <v>ICTVonline=201853904</v>
      </c>
      <c r="AA4940" s="1">
        <v>201850000</v>
      </c>
      <c r="AB4940" s="1">
        <v>34</v>
      </c>
    </row>
    <row r="4941" spans="1:28" x14ac:dyDescent="0.15">
      <c r="A4941" s="1">
        <v>12266</v>
      </c>
      <c r="L4941" s="1" t="s">
        <v>2032</v>
      </c>
      <c r="N4941" s="1" t="s">
        <v>2035</v>
      </c>
      <c r="P4941" s="1" t="s">
        <v>1087</v>
      </c>
      <c r="Q4941" s="3">
        <v>1</v>
      </c>
      <c r="S4941" s="23" t="s">
        <v>5949</v>
      </c>
      <c r="W4941" s="45" t="str">
        <f>HYPERLINK("http://ictvonline.org/taxonomy/p/taxonomy-history?taxnode_id=201853905","ICTVonline=201853905")</f>
        <v>ICTVonline=201853905</v>
      </c>
      <c r="AA4941" s="1">
        <v>201850000</v>
      </c>
      <c r="AB4941" s="1">
        <v>34</v>
      </c>
    </row>
    <row r="4942" spans="1:28" x14ac:dyDescent="0.15">
      <c r="A4942" s="1">
        <v>12269</v>
      </c>
      <c r="L4942" s="1" t="s">
        <v>2032</v>
      </c>
      <c r="P4942" s="1" t="s">
        <v>1088</v>
      </c>
      <c r="Q4942" s="3">
        <v>0</v>
      </c>
      <c r="S4942" s="23" t="s">
        <v>5949</v>
      </c>
      <c r="W4942" s="45" t="str">
        <f>HYPERLINK("http://ictvonline.org/taxonomy/p/taxonomy-history?taxnode_id=201853907","ICTVonline=201853907")</f>
        <v>ICTVonline=201853907</v>
      </c>
      <c r="AA4942" s="1">
        <v>201850000</v>
      </c>
      <c r="AB4942" s="1">
        <v>34</v>
      </c>
    </row>
    <row r="4943" spans="1:28" x14ac:dyDescent="0.15">
      <c r="A4943" s="1">
        <v>12274</v>
      </c>
      <c r="L4943" s="1" t="s">
        <v>1092</v>
      </c>
      <c r="N4943" s="1" t="s">
        <v>1093</v>
      </c>
      <c r="P4943" s="1" t="s">
        <v>1094</v>
      </c>
      <c r="Q4943" s="3">
        <v>1</v>
      </c>
      <c r="S4943" s="23" t="s">
        <v>5949</v>
      </c>
      <c r="W4943" s="45" t="str">
        <f>HYPERLINK("http://ictvonline.org/taxonomy/p/taxonomy-history?taxnode_id=201853922","ICTVonline=201853922")</f>
        <v>ICTVonline=201853922</v>
      </c>
      <c r="AA4943" s="1">
        <v>201850000</v>
      </c>
      <c r="AB4943" s="1">
        <v>34</v>
      </c>
    </row>
    <row r="4944" spans="1:28" x14ac:dyDescent="0.15">
      <c r="A4944" s="1">
        <v>12280</v>
      </c>
      <c r="L4944" s="1" t="s">
        <v>2477</v>
      </c>
      <c r="N4944" s="1" t="s">
        <v>2478</v>
      </c>
      <c r="P4944" s="1" t="s">
        <v>2479</v>
      </c>
      <c r="Q4944" s="3">
        <v>0</v>
      </c>
      <c r="S4944" s="23" t="s">
        <v>5949</v>
      </c>
      <c r="W4944" s="45" t="str">
        <f>HYPERLINK("http://ictvonline.org/taxonomy/p/taxonomy-history?taxnode_id=201853939","ICTVonline=201853939")</f>
        <v>ICTVonline=201853939</v>
      </c>
      <c r="AA4944" s="1">
        <v>201850000</v>
      </c>
      <c r="AB4944" s="1">
        <v>34</v>
      </c>
    </row>
    <row r="4945" spans="1:28" x14ac:dyDescent="0.15">
      <c r="A4945" s="1">
        <v>12282</v>
      </c>
      <c r="L4945" s="1" t="s">
        <v>2477</v>
      </c>
      <c r="N4945" s="1" t="s">
        <v>2478</v>
      </c>
      <c r="P4945" s="1" t="s">
        <v>2480</v>
      </c>
      <c r="Q4945" s="3">
        <v>1</v>
      </c>
      <c r="S4945" s="23" t="s">
        <v>5949</v>
      </c>
      <c r="W4945" s="45" t="str">
        <f>HYPERLINK("http://ictvonline.org/taxonomy/p/taxonomy-history?taxnode_id=201853940","ICTVonline=201853940")</f>
        <v>ICTVonline=201853940</v>
      </c>
      <c r="AA4945" s="1">
        <v>201850000</v>
      </c>
      <c r="AB4945" s="1">
        <v>34</v>
      </c>
    </row>
    <row r="4946" spans="1:28" x14ac:dyDescent="0.15">
      <c r="A4946" s="1">
        <v>12286</v>
      </c>
      <c r="L4946" s="1" t="s">
        <v>2477</v>
      </c>
      <c r="N4946" s="1" t="s">
        <v>2481</v>
      </c>
      <c r="P4946" s="1" t="s">
        <v>2482</v>
      </c>
      <c r="Q4946" s="3">
        <v>1</v>
      </c>
      <c r="S4946" s="23" t="s">
        <v>5949</v>
      </c>
      <c r="W4946" s="45" t="str">
        <f>HYPERLINK("http://ictvonline.org/taxonomy/p/taxonomy-history?taxnode_id=201853942","ICTVonline=201853942")</f>
        <v>ICTVonline=201853942</v>
      </c>
      <c r="AA4946" s="1">
        <v>201850000</v>
      </c>
      <c r="AB4946" s="1">
        <v>34</v>
      </c>
    </row>
    <row r="4947" spans="1:28" x14ac:dyDescent="0.15">
      <c r="A4947" s="1">
        <v>12292</v>
      </c>
      <c r="L4947" s="1" t="s">
        <v>7117</v>
      </c>
      <c r="N4947" s="1" t="s">
        <v>7118</v>
      </c>
      <c r="P4947" s="1" t="s">
        <v>7119</v>
      </c>
      <c r="Q4947" s="3">
        <v>1</v>
      </c>
      <c r="S4947" s="23" t="s">
        <v>5949</v>
      </c>
      <c r="T4947" s="23" t="s">
        <v>4929</v>
      </c>
      <c r="U4947" s="3">
        <v>34</v>
      </c>
      <c r="V4947" s="3" t="s">
        <v>7120</v>
      </c>
      <c r="W4947" s="45" t="str">
        <f>HYPERLINK("http://ictvonline.org/taxonomy/p/taxonomy-history?taxnode_id=201856901","ICTVonline=201856901")</f>
        <v>ICTVonline=201856901</v>
      </c>
      <c r="AA4947" s="1">
        <v>201850000</v>
      </c>
      <c r="AB4947" s="1">
        <v>34</v>
      </c>
    </row>
    <row r="4948" spans="1:28" x14ac:dyDescent="0.15">
      <c r="A4948" s="1">
        <v>12299</v>
      </c>
      <c r="L4948" s="1" t="s">
        <v>830</v>
      </c>
      <c r="M4948" s="1" t="s">
        <v>5471</v>
      </c>
      <c r="N4948" s="1" t="s">
        <v>831</v>
      </c>
      <c r="P4948" s="1" t="s">
        <v>106</v>
      </c>
      <c r="Q4948" s="3">
        <v>1</v>
      </c>
      <c r="S4948" s="23" t="s">
        <v>5949</v>
      </c>
      <c r="W4948" s="45" t="str">
        <f>HYPERLINK("http://ictvonline.org/taxonomy/p/taxonomy-history?taxnode_id=201853974","ICTVonline=201853974")</f>
        <v>ICTVonline=201853974</v>
      </c>
      <c r="AA4948" s="1">
        <v>201850000</v>
      </c>
      <c r="AB4948" s="1">
        <v>34</v>
      </c>
    </row>
    <row r="4949" spans="1:28" x14ac:dyDescent="0.15">
      <c r="A4949" s="1">
        <v>12301</v>
      </c>
      <c r="L4949" s="1" t="s">
        <v>830</v>
      </c>
      <c r="M4949" s="1" t="s">
        <v>5471</v>
      </c>
      <c r="N4949" s="1" t="s">
        <v>831</v>
      </c>
      <c r="P4949" s="1" t="s">
        <v>112</v>
      </c>
      <c r="Q4949" s="3">
        <v>0</v>
      </c>
      <c r="S4949" s="23" t="s">
        <v>5949</v>
      </c>
      <c r="W4949" s="45" t="str">
        <f>HYPERLINK("http://ictvonline.org/taxonomy/p/taxonomy-history?taxnode_id=201853975","ICTVonline=201853975")</f>
        <v>ICTVonline=201853975</v>
      </c>
      <c r="AA4949" s="1">
        <v>201850000</v>
      </c>
      <c r="AB4949" s="1">
        <v>34</v>
      </c>
    </row>
    <row r="4950" spans="1:28" x14ac:dyDescent="0.15">
      <c r="A4950" s="1">
        <v>12303</v>
      </c>
      <c r="L4950" s="1" t="s">
        <v>830</v>
      </c>
      <c r="M4950" s="1" t="s">
        <v>5471</v>
      </c>
      <c r="N4950" s="1" t="s">
        <v>831</v>
      </c>
      <c r="P4950" s="1" t="s">
        <v>113</v>
      </c>
      <c r="Q4950" s="3">
        <v>0</v>
      </c>
      <c r="S4950" s="23" t="s">
        <v>5949</v>
      </c>
      <c r="W4950" s="45" t="str">
        <f>HYPERLINK("http://ictvonline.org/taxonomy/p/taxonomy-history?taxnode_id=201853976","ICTVonline=201853976")</f>
        <v>ICTVonline=201853976</v>
      </c>
      <c r="AA4950" s="1">
        <v>201850000</v>
      </c>
      <c r="AB4950" s="1">
        <v>34</v>
      </c>
    </row>
    <row r="4951" spans="1:28" x14ac:dyDescent="0.15">
      <c r="A4951" s="1">
        <v>12305</v>
      </c>
      <c r="L4951" s="1" t="s">
        <v>830</v>
      </c>
      <c r="M4951" s="1" t="s">
        <v>5471</v>
      </c>
      <c r="N4951" s="1" t="s">
        <v>831</v>
      </c>
      <c r="P4951" s="1" t="s">
        <v>114</v>
      </c>
      <c r="Q4951" s="3">
        <v>0</v>
      </c>
      <c r="S4951" s="23" t="s">
        <v>5949</v>
      </c>
      <c r="W4951" s="45" t="str">
        <f>HYPERLINK("http://ictvonline.org/taxonomy/p/taxonomy-history?taxnode_id=201853977","ICTVonline=201853977")</f>
        <v>ICTVonline=201853977</v>
      </c>
      <c r="AA4951" s="1">
        <v>201850000</v>
      </c>
      <c r="AB4951" s="1">
        <v>34</v>
      </c>
    </row>
    <row r="4952" spans="1:28" x14ac:dyDescent="0.15">
      <c r="A4952" s="1">
        <v>12307</v>
      </c>
      <c r="L4952" s="1" t="s">
        <v>830</v>
      </c>
      <c r="M4952" s="1" t="s">
        <v>5471</v>
      </c>
      <c r="N4952" s="1" t="s">
        <v>831</v>
      </c>
      <c r="P4952" s="1" t="s">
        <v>115</v>
      </c>
      <c r="Q4952" s="3">
        <v>0</v>
      </c>
      <c r="S4952" s="23" t="s">
        <v>5949</v>
      </c>
      <c r="W4952" s="45" t="str">
        <f>HYPERLINK("http://ictvonline.org/taxonomy/p/taxonomy-history?taxnode_id=201853978","ICTVonline=201853978")</f>
        <v>ICTVonline=201853978</v>
      </c>
      <c r="AA4952" s="1">
        <v>201850000</v>
      </c>
      <c r="AB4952" s="1">
        <v>34</v>
      </c>
    </row>
    <row r="4953" spans="1:28" x14ac:dyDescent="0.15">
      <c r="A4953" s="1">
        <v>12309</v>
      </c>
      <c r="L4953" s="1" t="s">
        <v>830</v>
      </c>
      <c r="M4953" s="1" t="s">
        <v>5471</v>
      </c>
      <c r="N4953" s="1" t="s">
        <v>831</v>
      </c>
      <c r="P4953" s="1" t="s">
        <v>116</v>
      </c>
      <c r="Q4953" s="3">
        <v>0</v>
      </c>
      <c r="S4953" s="23" t="s">
        <v>5949</v>
      </c>
      <c r="W4953" s="45" t="str">
        <f>HYPERLINK("http://ictvonline.org/taxonomy/p/taxonomy-history?taxnode_id=201853979","ICTVonline=201853979")</f>
        <v>ICTVonline=201853979</v>
      </c>
      <c r="AA4953" s="1">
        <v>201850000</v>
      </c>
      <c r="AB4953" s="1">
        <v>34</v>
      </c>
    </row>
    <row r="4954" spans="1:28" x14ac:dyDescent="0.15">
      <c r="A4954" s="1">
        <v>12311</v>
      </c>
      <c r="L4954" s="1" t="s">
        <v>830</v>
      </c>
      <c r="M4954" s="1" t="s">
        <v>5471</v>
      </c>
      <c r="N4954" s="1" t="s">
        <v>831</v>
      </c>
      <c r="P4954" s="1" t="s">
        <v>117</v>
      </c>
      <c r="Q4954" s="3">
        <v>0</v>
      </c>
      <c r="S4954" s="23" t="s">
        <v>5949</v>
      </c>
      <c r="W4954" s="45" t="str">
        <f>HYPERLINK("http://ictvonline.org/taxonomy/p/taxonomy-history?taxnode_id=201853980","ICTVonline=201853980")</f>
        <v>ICTVonline=201853980</v>
      </c>
      <c r="AA4954" s="1">
        <v>201850000</v>
      </c>
      <c r="AB4954" s="1">
        <v>34</v>
      </c>
    </row>
    <row r="4955" spans="1:28" x14ac:dyDescent="0.15">
      <c r="A4955" s="1">
        <v>12313</v>
      </c>
      <c r="L4955" s="1" t="s">
        <v>830</v>
      </c>
      <c r="M4955" s="1" t="s">
        <v>5471</v>
      </c>
      <c r="N4955" s="1" t="s">
        <v>831</v>
      </c>
      <c r="P4955" s="1" t="s">
        <v>118</v>
      </c>
      <c r="Q4955" s="3">
        <v>0</v>
      </c>
      <c r="S4955" s="23" t="s">
        <v>5949</v>
      </c>
      <c r="W4955" s="45" t="str">
        <f>HYPERLINK("http://ictvonline.org/taxonomy/p/taxonomy-history?taxnode_id=201853981","ICTVonline=201853981")</f>
        <v>ICTVonline=201853981</v>
      </c>
      <c r="AA4955" s="1">
        <v>201850000</v>
      </c>
      <c r="AB4955" s="1">
        <v>34</v>
      </c>
    </row>
    <row r="4956" spans="1:28" x14ac:dyDescent="0.15">
      <c r="A4956" s="1">
        <v>12315</v>
      </c>
      <c r="L4956" s="1" t="s">
        <v>830</v>
      </c>
      <c r="M4956" s="1" t="s">
        <v>5471</v>
      </c>
      <c r="N4956" s="1" t="s">
        <v>831</v>
      </c>
      <c r="P4956" s="1" t="s">
        <v>119</v>
      </c>
      <c r="Q4956" s="3">
        <v>0</v>
      </c>
      <c r="S4956" s="23" t="s">
        <v>5949</v>
      </c>
      <c r="W4956" s="45" t="str">
        <f>HYPERLINK("http://ictvonline.org/taxonomy/p/taxonomy-history?taxnode_id=201853982","ICTVonline=201853982")</f>
        <v>ICTVonline=201853982</v>
      </c>
      <c r="AA4956" s="1">
        <v>201850000</v>
      </c>
      <c r="AB4956" s="1">
        <v>34</v>
      </c>
    </row>
    <row r="4957" spans="1:28" x14ac:dyDescent="0.15">
      <c r="A4957" s="1">
        <v>12317</v>
      </c>
      <c r="L4957" s="1" t="s">
        <v>830</v>
      </c>
      <c r="M4957" s="1" t="s">
        <v>5471</v>
      </c>
      <c r="N4957" s="1" t="s">
        <v>831</v>
      </c>
      <c r="P4957" s="1" t="s">
        <v>107</v>
      </c>
      <c r="Q4957" s="3">
        <v>0</v>
      </c>
      <c r="S4957" s="23" t="s">
        <v>5949</v>
      </c>
      <c r="W4957" s="45" t="str">
        <f>HYPERLINK("http://ictvonline.org/taxonomy/p/taxonomy-history?taxnode_id=201853983","ICTVonline=201853983")</f>
        <v>ICTVonline=201853983</v>
      </c>
      <c r="AA4957" s="1">
        <v>201850000</v>
      </c>
      <c r="AB4957" s="1">
        <v>34</v>
      </c>
    </row>
    <row r="4958" spans="1:28" x14ac:dyDescent="0.15">
      <c r="A4958" s="1">
        <v>12319</v>
      </c>
      <c r="L4958" s="1" t="s">
        <v>830</v>
      </c>
      <c r="M4958" s="1" t="s">
        <v>5471</v>
      </c>
      <c r="N4958" s="1" t="s">
        <v>831</v>
      </c>
      <c r="P4958" s="1" t="s">
        <v>108</v>
      </c>
      <c r="Q4958" s="3">
        <v>0</v>
      </c>
      <c r="S4958" s="23" t="s">
        <v>5949</v>
      </c>
      <c r="W4958" s="45" t="str">
        <f>HYPERLINK("http://ictvonline.org/taxonomy/p/taxonomy-history?taxnode_id=201853984","ICTVonline=201853984")</f>
        <v>ICTVonline=201853984</v>
      </c>
      <c r="AA4958" s="1">
        <v>201850000</v>
      </c>
      <c r="AB4958" s="1">
        <v>34</v>
      </c>
    </row>
    <row r="4959" spans="1:28" x14ac:dyDescent="0.15">
      <c r="A4959" s="1">
        <v>12321</v>
      </c>
      <c r="L4959" s="1" t="s">
        <v>830</v>
      </c>
      <c r="M4959" s="1" t="s">
        <v>5471</v>
      </c>
      <c r="N4959" s="1" t="s">
        <v>831</v>
      </c>
      <c r="P4959" s="1" t="s">
        <v>109</v>
      </c>
      <c r="Q4959" s="3">
        <v>0</v>
      </c>
      <c r="S4959" s="23" t="s">
        <v>5949</v>
      </c>
      <c r="W4959" s="45" t="str">
        <f>HYPERLINK("http://ictvonline.org/taxonomy/p/taxonomy-history?taxnode_id=201853985","ICTVonline=201853985")</f>
        <v>ICTVonline=201853985</v>
      </c>
      <c r="AA4959" s="1">
        <v>201850000</v>
      </c>
      <c r="AB4959" s="1">
        <v>34</v>
      </c>
    </row>
    <row r="4960" spans="1:28" x14ac:dyDescent="0.15">
      <c r="A4960" s="1">
        <v>12323</v>
      </c>
      <c r="L4960" s="1" t="s">
        <v>830</v>
      </c>
      <c r="M4960" s="1" t="s">
        <v>5471</v>
      </c>
      <c r="N4960" s="1" t="s">
        <v>831</v>
      </c>
      <c r="P4960" s="1" t="s">
        <v>110</v>
      </c>
      <c r="Q4960" s="3">
        <v>0</v>
      </c>
      <c r="S4960" s="23" t="s">
        <v>5949</v>
      </c>
      <c r="W4960" s="45" t="str">
        <f>HYPERLINK("http://ictvonline.org/taxonomy/p/taxonomy-history?taxnode_id=201853986","ICTVonline=201853986")</f>
        <v>ICTVonline=201853986</v>
      </c>
      <c r="AA4960" s="1">
        <v>201850000</v>
      </c>
      <c r="AB4960" s="1">
        <v>34</v>
      </c>
    </row>
    <row r="4961" spans="1:28" x14ac:dyDescent="0.15">
      <c r="A4961" s="1">
        <v>12325</v>
      </c>
      <c r="L4961" s="1" t="s">
        <v>830</v>
      </c>
      <c r="M4961" s="1" t="s">
        <v>5471</v>
      </c>
      <c r="N4961" s="1" t="s">
        <v>831</v>
      </c>
      <c r="P4961" s="1" t="s">
        <v>111</v>
      </c>
      <c r="Q4961" s="3">
        <v>0</v>
      </c>
      <c r="S4961" s="23" t="s">
        <v>5949</v>
      </c>
      <c r="W4961" s="45" t="str">
        <f>HYPERLINK("http://ictvonline.org/taxonomy/p/taxonomy-history?taxnode_id=201853987","ICTVonline=201853987")</f>
        <v>ICTVonline=201853987</v>
      </c>
      <c r="AA4961" s="1">
        <v>201850000</v>
      </c>
      <c r="AB4961" s="1">
        <v>34</v>
      </c>
    </row>
    <row r="4962" spans="1:28" x14ac:dyDescent="0.15">
      <c r="A4962" s="1">
        <v>12329</v>
      </c>
      <c r="L4962" s="1" t="s">
        <v>830</v>
      </c>
      <c r="M4962" s="1" t="s">
        <v>5471</v>
      </c>
      <c r="N4962" s="1" t="s">
        <v>864</v>
      </c>
      <c r="P4962" s="1" t="s">
        <v>120</v>
      </c>
      <c r="Q4962" s="3">
        <v>1</v>
      </c>
      <c r="S4962" s="23" t="s">
        <v>5949</v>
      </c>
      <c r="W4962" s="45" t="str">
        <f>HYPERLINK("http://ictvonline.org/taxonomy/p/taxonomy-history?taxnode_id=201853989","ICTVonline=201853989")</f>
        <v>ICTVonline=201853989</v>
      </c>
      <c r="AA4962" s="1">
        <v>201850000</v>
      </c>
      <c r="AB4962" s="1">
        <v>34</v>
      </c>
    </row>
    <row r="4963" spans="1:28" x14ac:dyDescent="0.15">
      <c r="A4963" s="1">
        <v>12331</v>
      </c>
      <c r="L4963" s="1" t="s">
        <v>830</v>
      </c>
      <c r="M4963" s="1" t="s">
        <v>5471</v>
      </c>
      <c r="N4963" s="1" t="s">
        <v>864</v>
      </c>
      <c r="P4963" s="1" t="s">
        <v>121</v>
      </c>
      <c r="Q4963" s="3">
        <v>0</v>
      </c>
      <c r="S4963" s="23" t="s">
        <v>5949</v>
      </c>
      <c r="W4963" s="45" t="str">
        <f>HYPERLINK("http://ictvonline.org/taxonomy/p/taxonomy-history?taxnode_id=201853990","ICTVonline=201853990")</f>
        <v>ICTVonline=201853990</v>
      </c>
      <c r="AA4963" s="1">
        <v>201850000</v>
      </c>
      <c r="AB4963" s="1">
        <v>34</v>
      </c>
    </row>
    <row r="4964" spans="1:28" x14ac:dyDescent="0.15">
      <c r="A4964" s="1">
        <v>12333</v>
      </c>
      <c r="L4964" s="1" t="s">
        <v>830</v>
      </c>
      <c r="M4964" s="1" t="s">
        <v>5471</v>
      </c>
      <c r="N4964" s="1" t="s">
        <v>864</v>
      </c>
      <c r="P4964" s="1" t="s">
        <v>122</v>
      </c>
      <c r="Q4964" s="3">
        <v>0</v>
      </c>
      <c r="S4964" s="23" t="s">
        <v>5949</v>
      </c>
      <c r="W4964" s="45" t="str">
        <f>HYPERLINK("http://ictvonline.org/taxonomy/p/taxonomy-history?taxnode_id=201853991","ICTVonline=201853991")</f>
        <v>ICTVonline=201853991</v>
      </c>
      <c r="AA4964" s="1">
        <v>201850000</v>
      </c>
      <c r="AB4964" s="1">
        <v>34</v>
      </c>
    </row>
    <row r="4965" spans="1:28" x14ac:dyDescent="0.15">
      <c r="A4965" s="1">
        <v>12335</v>
      </c>
      <c r="L4965" s="1" t="s">
        <v>830</v>
      </c>
      <c r="M4965" s="1" t="s">
        <v>5471</v>
      </c>
      <c r="N4965" s="1" t="s">
        <v>864</v>
      </c>
      <c r="P4965" s="1" t="s">
        <v>123</v>
      </c>
      <c r="Q4965" s="3">
        <v>0</v>
      </c>
      <c r="S4965" s="23" t="s">
        <v>5949</v>
      </c>
      <c r="W4965" s="45" t="str">
        <f>HYPERLINK("http://ictvonline.org/taxonomy/p/taxonomy-history?taxnode_id=201853992","ICTVonline=201853992")</f>
        <v>ICTVonline=201853992</v>
      </c>
      <c r="AA4965" s="1">
        <v>201850000</v>
      </c>
      <c r="AB4965" s="1">
        <v>34</v>
      </c>
    </row>
    <row r="4966" spans="1:28" x14ac:dyDescent="0.15">
      <c r="A4966" s="1">
        <v>12337</v>
      </c>
      <c r="L4966" s="1" t="s">
        <v>830</v>
      </c>
      <c r="M4966" s="1" t="s">
        <v>5471</v>
      </c>
      <c r="N4966" s="1" t="s">
        <v>864</v>
      </c>
      <c r="P4966" s="1" t="s">
        <v>124</v>
      </c>
      <c r="Q4966" s="3">
        <v>0</v>
      </c>
      <c r="S4966" s="23" t="s">
        <v>5949</v>
      </c>
      <c r="W4966" s="45" t="str">
        <f>HYPERLINK("http://ictvonline.org/taxonomy/p/taxonomy-history?taxnode_id=201853993","ICTVonline=201853993")</f>
        <v>ICTVonline=201853993</v>
      </c>
      <c r="AA4966" s="1">
        <v>201850000</v>
      </c>
      <c r="AB4966" s="1">
        <v>34</v>
      </c>
    </row>
    <row r="4967" spans="1:28" x14ac:dyDescent="0.15">
      <c r="A4967" s="1">
        <v>12339</v>
      </c>
      <c r="L4967" s="1" t="s">
        <v>830</v>
      </c>
      <c r="M4967" s="1" t="s">
        <v>5471</v>
      </c>
      <c r="N4967" s="1" t="s">
        <v>864</v>
      </c>
      <c r="P4967" s="1" t="s">
        <v>125</v>
      </c>
      <c r="Q4967" s="3">
        <v>0</v>
      </c>
      <c r="S4967" s="23" t="s">
        <v>5949</v>
      </c>
      <c r="W4967" s="45" t="str">
        <f>HYPERLINK("http://ictvonline.org/taxonomy/p/taxonomy-history?taxnode_id=201853994","ICTVonline=201853994")</f>
        <v>ICTVonline=201853994</v>
      </c>
      <c r="AA4967" s="1">
        <v>201850000</v>
      </c>
      <c r="AB4967" s="1">
        <v>34</v>
      </c>
    </row>
    <row r="4968" spans="1:28" x14ac:dyDescent="0.15">
      <c r="A4968" s="1">
        <v>12343</v>
      </c>
      <c r="L4968" s="1" t="s">
        <v>830</v>
      </c>
      <c r="M4968" s="1" t="s">
        <v>5471</v>
      </c>
      <c r="N4968" s="1" t="s">
        <v>126</v>
      </c>
      <c r="P4968" s="1" t="s">
        <v>127</v>
      </c>
      <c r="Q4968" s="3">
        <v>1</v>
      </c>
      <c r="S4968" s="23" t="s">
        <v>5949</v>
      </c>
      <c r="W4968" s="45" t="str">
        <f>HYPERLINK("http://ictvonline.org/taxonomy/p/taxonomy-history?taxnode_id=201853996","ICTVonline=201853996")</f>
        <v>ICTVonline=201853996</v>
      </c>
      <c r="AA4968" s="1">
        <v>201850000</v>
      </c>
      <c r="AB4968" s="1">
        <v>34</v>
      </c>
    </row>
    <row r="4969" spans="1:28" x14ac:dyDescent="0.15">
      <c r="A4969" s="1">
        <v>12345</v>
      </c>
      <c r="L4969" s="1" t="s">
        <v>830</v>
      </c>
      <c r="M4969" s="1" t="s">
        <v>5471</v>
      </c>
      <c r="N4969" s="1" t="s">
        <v>126</v>
      </c>
      <c r="P4969" s="1" t="s">
        <v>128</v>
      </c>
      <c r="Q4969" s="3">
        <v>0</v>
      </c>
      <c r="S4969" s="23" t="s">
        <v>5949</v>
      </c>
      <c r="W4969" s="45" t="str">
        <f>HYPERLINK("http://ictvonline.org/taxonomy/p/taxonomy-history?taxnode_id=201853997","ICTVonline=201853997")</f>
        <v>ICTVonline=201853997</v>
      </c>
      <c r="AA4969" s="1">
        <v>201850000</v>
      </c>
      <c r="AB4969" s="1">
        <v>34</v>
      </c>
    </row>
    <row r="4970" spans="1:28" x14ac:dyDescent="0.15">
      <c r="A4970" s="1">
        <v>12347</v>
      </c>
      <c r="L4970" s="1" t="s">
        <v>830</v>
      </c>
      <c r="M4970" s="1" t="s">
        <v>5471</v>
      </c>
      <c r="N4970" s="1" t="s">
        <v>126</v>
      </c>
      <c r="P4970" s="1" t="s">
        <v>2483</v>
      </c>
      <c r="Q4970" s="3">
        <v>0</v>
      </c>
      <c r="S4970" s="23" t="s">
        <v>5949</v>
      </c>
      <c r="W4970" s="45" t="str">
        <f>HYPERLINK("http://ictvonline.org/taxonomy/p/taxonomy-history?taxnode_id=201853998","ICTVonline=201853998")</f>
        <v>ICTVonline=201853998</v>
      </c>
      <c r="AA4970" s="1">
        <v>201850000</v>
      </c>
      <c r="AB4970" s="1">
        <v>34</v>
      </c>
    </row>
    <row r="4971" spans="1:28" x14ac:dyDescent="0.15">
      <c r="A4971" s="1">
        <v>12351</v>
      </c>
      <c r="L4971" s="1" t="s">
        <v>830</v>
      </c>
      <c r="M4971" s="1" t="s">
        <v>5471</v>
      </c>
      <c r="N4971" s="1" t="s">
        <v>1881</v>
      </c>
      <c r="P4971" s="1" t="s">
        <v>129</v>
      </c>
      <c r="Q4971" s="3">
        <v>1</v>
      </c>
      <c r="S4971" s="23" t="s">
        <v>5949</v>
      </c>
      <c r="W4971" s="45" t="str">
        <f>HYPERLINK("http://ictvonline.org/taxonomy/p/taxonomy-history?taxnode_id=201854000","ICTVonline=201854000")</f>
        <v>ICTVonline=201854000</v>
      </c>
      <c r="AA4971" s="1">
        <v>201850000</v>
      </c>
      <c r="AB4971" s="1">
        <v>34</v>
      </c>
    </row>
    <row r="4972" spans="1:28" x14ac:dyDescent="0.15">
      <c r="A4972" s="1">
        <v>12353</v>
      </c>
      <c r="L4972" s="1" t="s">
        <v>830</v>
      </c>
      <c r="M4972" s="1" t="s">
        <v>5471</v>
      </c>
      <c r="N4972" s="1" t="s">
        <v>1881</v>
      </c>
      <c r="P4972" s="1" t="s">
        <v>130</v>
      </c>
      <c r="Q4972" s="3">
        <v>0</v>
      </c>
      <c r="S4972" s="23" t="s">
        <v>5949</v>
      </c>
      <c r="W4972" s="45" t="str">
        <f>HYPERLINK("http://ictvonline.org/taxonomy/p/taxonomy-history?taxnode_id=201854001","ICTVonline=201854001")</f>
        <v>ICTVonline=201854001</v>
      </c>
      <c r="AA4972" s="1">
        <v>201850000</v>
      </c>
      <c r="AB4972" s="1">
        <v>34</v>
      </c>
    </row>
    <row r="4973" spans="1:28" x14ac:dyDescent="0.15">
      <c r="A4973" s="1">
        <v>12355</v>
      </c>
      <c r="L4973" s="1" t="s">
        <v>830</v>
      </c>
      <c r="M4973" s="1" t="s">
        <v>5471</v>
      </c>
      <c r="N4973" s="1" t="s">
        <v>1881</v>
      </c>
      <c r="P4973" s="1" t="s">
        <v>131</v>
      </c>
      <c r="Q4973" s="3">
        <v>0</v>
      </c>
      <c r="S4973" s="23" t="s">
        <v>5949</v>
      </c>
      <c r="W4973" s="45" t="str">
        <f>HYPERLINK("http://ictvonline.org/taxonomy/p/taxonomy-history?taxnode_id=201854002","ICTVonline=201854002")</f>
        <v>ICTVonline=201854002</v>
      </c>
      <c r="AA4973" s="1">
        <v>201850000</v>
      </c>
      <c r="AB4973" s="1">
        <v>34</v>
      </c>
    </row>
    <row r="4974" spans="1:28" x14ac:dyDescent="0.15">
      <c r="A4974" s="1">
        <v>12357</v>
      </c>
      <c r="L4974" s="1" t="s">
        <v>830</v>
      </c>
      <c r="M4974" s="1" t="s">
        <v>5471</v>
      </c>
      <c r="N4974" s="1" t="s">
        <v>1881</v>
      </c>
      <c r="P4974" s="1" t="s">
        <v>132</v>
      </c>
      <c r="Q4974" s="3">
        <v>0</v>
      </c>
      <c r="S4974" s="23" t="s">
        <v>5949</v>
      </c>
      <c r="W4974" s="45" t="str">
        <f>HYPERLINK("http://ictvonline.org/taxonomy/p/taxonomy-history?taxnode_id=201854003","ICTVonline=201854003")</f>
        <v>ICTVonline=201854003</v>
      </c>
      <c r="AA4974" s="1">
        <v>201850000</v>
      </c>
      <c r="AB4974" s="1">
        <v>34</v>
      </c>
    </row>
    <row r="4975" spans="1:28" x14ac:dyDescent="0.15">
      <c r="A4975" s="1">
        <v>12359</v>
      </c>
      <c r="L4975" s="1" t="s">
        <v>830</v>
      </c>
      <c r="M4975" s="1" t="s">
        <v>5471</v>
      </c>
      <c r="N4975" s="1" t="s">
        <v>1881</v>
      </c>
      <c r="P4975" s="1" t="s">
        <v>133</v>
      </c>
      <c r="Q4975" s="3">
        <v>0</v>
      </c>
      <c r="S4975" s="23" t="s">
        <v>5949</v>
      </c>
      <c r="W4975" s="45" t="str">
        <f>HYPERLINK("http://ictvonline.org/taxonomy/p/taxonomy-history?taxnode_id=201854004","ICTVonline=201854004")</f>
        <v>ICTVonline=201854004</v>
      </c>
      <c r="AA4975" s="1">
        <v>201850000</v>
      </c>
      <c r="AB4975" s="1">
        <v>34</v>
      </c>
    </row>
    <row r="4976" spans="1:28" x14ac:dyDescent="0.15">
      <c r="A4976" s="1">
        <v>12361</v>
      </c>
      <c r="L4976" s="1" t="s">
        <v>830</v>
      </c>
      <c r="M4976" s="1" t="s">
        <v>5471</v>
      </c>
      <c r="N4976" s="1" t="s">
        <v>1881</v>
      </c>
      <c r="P4976" s="1" t="s">
        <v>2484</v>
      </c>
      <c r="Q4976" s="3">
        <v>0</v>
      </c>
      <c r="S4976" s="23" t="s">
        <v>5949</v>
      </c>
      <c r="W4976" s="45" t="str">
        <f>HYPERLINK("http://ictvonline.org/taxonomy/p/taxonomy-history?taxnode_id=201854005","ICTVonline=201854005")</f>
        <v>ICTVonline=201854005</v>
      </c>
      <c r="AA4976" s="1">
        <v>201850000</v>
      </c>
      <c r="AB4976" s="1">
        <v>34</v>
      </c>
    </row>
    <row r="4977" spans="1:28" x14ac:dyDescent="0.15">
      <c r="A4977" s="1">
        <v>12363</v>
      </c>
      <c r="L4977" s="1" t="s">
        <v>830</v>
      </c>
      <c r="M4977" s="1" t="s">
        <v>5471</v>
      </c>
      <c r="N4977" s="1" t="s">
        <v>1881</v>
      </c>
      <c r="P4977" s="1" t="s">
        <v>5472</v>
      </c>
      <c r="Q4977" s="3">
        <v>0</v>
      </c>
      <c r="S4977" s="23" t="s">
        <v>5949</v>
      </c>
      <c r="W4977" s="45" t="str">
        <f>HYPERLINK("http://ictvonline.org/taxonomy/p/taxonomy-history?taxnode_id=201855864","ICTVonline=201855864")</f>
        <v>ICTVonline=201855864</v>
      </c>
      <c r="AA4977" s="1">
        <v>201850000</v>
      </c>
      <c r="AB4977" s="1">
        <v>34</v>
      </c>
    </row>
    <row r="4978" spans="1:28" x14ac:dyDescent="0.15">
      <c r="A4978" s="1">
        <v>12367</v>
      </c>
      <c r="L4978" s="1" t="s">
        <v>830</v>
      </c>
      <c r="M4978" s="1" t="s">
        <v>5471</v>
      </c>
      <c r="N4978" s="1" t="s">
        <v>3881</v>
      </c>
      <c r="P4978" s="1" t="s">
        <v>3882</v>
      </c>
      <c r="Q4978" s="3">
        <v>1</v>
      </c>
      <c r="S4978" s="23" t="s">
        <v>5949</v>
      </c>
      <c r="W4978" s="45" t="str">
        <f>HYPERLINK("http://ictvonline.org/taxonomy/p/taxonomy-history?taxnode_id=201854007","ICTVonline=201854007")</f>
        <v>ICTVonline=201854007</v>
      </c>
      <c r="AA4978" s="1">
        <v>201850000</v>
      </c>
      <c r="AB4978" s="1">
        <v>34</v>
      </c>
    </row>
    <row r="4979" spans="1:28" x14ac:dyDescent="0.15">
      <c r="A4979" s="1">
        <v>12371</v>
      </c>
      <c r="L4979" s="1" t="s">
        <v>830</v>
      </c>
      <c r="M4979" s="1" t="s">
        <v>5471</v>
      </c>
      <c r="N4979" s="1" t="s">
        <v>134</v>
      </c>
      <c r="P4979" s="1" t="s">
        <v>135</v>
      </c>
      <c r="Q4979" s="3">
        <v>1</v>
      </c>
      <c r="S4979" s="23" t="s">
        <v>5949</v>
      </c>
      <c r="W4979" s="45" t="str">
        <f>HYPERLINK("http://ictvonline.org/taxonomy/p/taxonomy-history?taxnode_id=201854009","ICTVonline=201854009")</f>
        <v>ICTVonline=201854009</v>
      </c>
      <c r="AA4979" s="1">
        <v>201850000</v>
      </c>
      <c r="AB4979" s="1">
        <v>34</v>
      </c>
    </row>
    <row r="4980" spans="1:28" x14ac:dyDescent="0.15">
      <c r="A4980" s="1">
        <v>12375</v>
      </c>
      <c r="L4980" s="1" t="s">
        <v>830</v>
      </c>
      <c r="M4980" s="1" t="s">
        <v>5471</v>
      </c>
      <c r="N4980" s="1" t="s">
        <v>136</v>
      </c>
      <c r="P4980" s="1" t="s">
        <v>137</v>
      </c>
      <c r="Q4980" s="3">
        <v>1</v>
      </c>
      <c r="S4980" s="23" t="s">
        <v>5949</v>
      </c>
      <c r="W4980" s="45" t="str">
        <f>HYPERLINK("http://ictvonline.org/taxonomy/p/taxonomy-history?taxnode_id=201854011","ICTVonline=201854011")</f>
        <v>ICTVonline=201854011</v>
      </c>
      <c r="AA4980" s="1">
        <v>201850000</v>
      </c>
      <c r="AB4980" s="1">
        <v>34</v>
      </c>
    </row>
    <row r="4981" spans="1:28" x14ac:dyDescent="0.15">
      <c r="A4981" s="1">
        <v>12379</v>
      </c>
      <c r="L4981" s="1" t="s">
        <v>830</v>
      </c>
      <c r="M4981" s="1" t="s">
        <v>5471</v>
      </c>
      <c r="N4981" s="1" t="s">
        <v>138</v>
      </c>
      <c r="P4981" s="1" t="s">
        <v>139</v>
      </c>
      <c r="Q4981" s="3">
        <v>1</v>
      </c>
      <c r="S4981" s="23" t="s">
        <v>5949</v>
      </c>
      <c r="W4981" s="45" t="str">
        <f>HYPERLINK("http://ictvonline.org/taxonomy/p/taxonomy-history?taxnode_id=201854013","ICTVonline=201854013")</f>
        <v>ICTVonline=201854013</v>
      </c>
      <c r="AA4981" s="1">
        <v>201850000</v>
      </c>
      <c r="AB4981" s="1">
        <v>34</v>
      </c>
    </row>
    <row r="4982" spans="1:28" x14ac:dyDescent="0.15">
      <c r="A4982" s="1">
        <v>12383</v>
      </c>
      <c r="L4982" s="1" t="s">
        <v>830</v>
      </c>
      <c r="M4982" s="1" t="s">
        <v>5471</v>
      </c>
      <c r="N4982" s="1" t="s">
        <v>140</v>
      </c>
      <c r="P4982" s="1" t="s">
        <v>141</v>
      </c>
      <c r="Q4982" s="3">
        <v>1</v>
      </c>
      <c r="S4982" s="23" t="s">
        <v>5949</v>
      </c>
      <c r="W4982" s="45" t="str">
        <f>HYPERLINK("http://ictvonline.org/taxonomy/p/taxonomy-history?taxnode_id=201854015","ICTVonline=201854015")</f>
        <v>ICTVonline=201854015</v>
      </c>
      <c r="AA4982" s="1">
        <v>201850000</v>
      </c>
      <c r="AB4982" s="1">
        <v>34</v>
      </c>
    </row>
    <row r="4983" spans="1:28" x14ac:dyDescent="0.15">
      <c r="A4983" s="1">
        <v>12385</v>
      </c>
      <c r="L4983" s="1" t="s">
        <v>830</v>
      </c>
      <c r="M4983" s="1" t="s">
        <v>5471</v>
      </c>
      <c r="N4983" s="1" t="s">
        <v>140</v>
      </c>
      <c r="P4983" s="1" t="s">
        <v>2485</v>
      </c>
      <c r="Q4983" s="3">
        <v>0</v>
      </c>
      <c r="S4983" s="23" t="s">
        <v>5949</v>
      </c>
      <c r="W4983" s="45" t="str">
        <f>HYPERLINK("http://ictvonline.org/taxonomy/p/taxonomy-history?taxnode_id=201854016","ICTVonline=201854016")</f>
        <v>ICTVonline=201854016</v>
      </c>
      <c r="AA4983" s="1">
        <v>201850000</v>
      </c>
      <c r="AB4983" s="1">
        <v>34</v>
      </c>
    </row>
    <row r="4984" spans="1:28" x14ac:dyDescent="0.15">
      <c r="A4984" s="1">
        <v>12389</v>
      </c>
      <c r="L4984" s="1" t="s">
        <v>830</v>
      </c>
      <c r="M4984" s="1" t="s">
        <v>5471</v>
      </c>
      <c r="N4984" s="1" t="s">
        <v>2486</v>
      </c>
      <c r="P4984" s="1" t="s">
        <v>2487</v>
      </c>
      <c r="Q4984" s="3">
        <v>1</v>
      </c>
      <c r="S4984" s="23" t="s">
        <v>5949</v>
      </c>
      <c r="W4984" s="45" t="str">
        <f>HYPERLINK("http://ictvonline.org/taxonomy/p/taxonomy-history?taxnode_id=201854018","ICTVonline=201854018")</f>
        <v>ICTVonline=201854018</v>
      </c>
      <c r="AA4984" s="1">
        <v>201850000</v>
      </c>
      <c r="AB4984" s="1">
        <v>34</v>
      </c>
    </row>
    <row r="4985" spans="1:28" x14ac:dyDescent="0.15">
      <c r="A4985" s="1">
        <v>12391</v>
      </c>
      <c r="L4985" s="1" t="s">
        <v>830</v>
      </c>
      <c r="M4985" s="1" t="s">
        <v>5471</v>
      </c>
      <c r="N4985" s="1" t="s">
        <v>2486</v>
      </c>
      <c r="P4985" s="1" t="s">
        <v>3883</v>
      </c>
      <c r="Q4985" s="3">
        <v>0</v>
      </c>
      <c r="S4985" s="23" t="s">
        <v>5949</v>
      </c>
      <c r="W4985" s="45" t="str">
        <f>HYPERLINK("http://ictvonline.org/taxonomy/p/taxonomy-history?taxnode_id=201854019","ICTVonline=201854019")</f>
        <v>ICTVonline=201854019</v>
      </c>
      <c r="AA4985" s="1">
        <v>201850000</v>
      </c>
      <c r="AB4985" s="1">
        <v>34</v>
      </c>
    </row>
    <row r="4986" spans="1:28" x14ac:dyDescent="0.15">
      <c r="A4986" s="1">
        <v>12393</v>
      </c>
      <c r="L4986" s="1" t="s">
        <v>830</v>
      </c>
      <c r="M4986" s="1" t="s">
        <v>5471</v>
      </c>
      <c r="N4986" s="1" t="s">
        <v>2486</v>
      </c>
      <c r="P4986" s="1" t="s">
        <v>5473</v>
      </c>
      <c r="Q4986" s="3">
        <v>0</v>
      </c>
      <c r="S4986" s="23" t="s">
        <v>5949</v>
      </c>
      <c r="W4986" s="45" t="str">
        <f>HYPERLINK("http://ictvonline.org/taxonomy/p/taxonomy-history?taxnode_id=201855865","ICTVonline=201855865")</f>
        <v>ICTVonline=201855865</v>
      </c>
      <c r="AA4986" s="1">
        <v>201850000</v>
      </c>
      <c r="AB4986" s="1">
        <v>34</v>
      </c>
    </row>
    <row r="4987" spans="1:28" x14ac:dyDescent="0.15">
      <c r="A4987" s="1">
        <v>12395</v>
      </c>
      <c r="L4987" s="1" t="s">
        <v>830</v>
      </c>
      <c r="M4987" s="1" t="s">
        <v>5471</v>
      </c>
      <c r="N4987" s="1" t="s">
        <v>2486</v>
      </c>
      <c r="P4987" s="1" t="s">
        <v>5474</v>
      </c>
      <c r="Q4987" s="3">
        <v>0</v>
      </c>
      <c r="S4987" s="23" t="s">
        <v>5949</v>
      </c>
      <c r="W4987" s="45" t="str">
        <f>HYPERLINK("http://ictvonline.org/taxonomy/p/taxonomy-history?taxnode_id=201855866","ICTVonline=201855866")</f>
        <v>ICTVonline=201855866</v>
      </c>
      <c r="AA4987" s="1">
        <v>201850000</v>
      </c>
      <c r="AB4987" s="1">
        <v>34</v>
      </c>
    </row>
    <row r="4988" spans="1:28" x14ac:dyDescent="0.15">
      <c r="A4988" s="1">
        <v>12397</v>
      </c>
      <c r="L4988" s="1" t="s">
        <v>830</v>
      </c>
      <c r="M4988" s="1" t="s">
        <v>5471</v>
      </c>
      <c r="N4988" s="1" t="s">
        <v>2486</v>
      </c>
      <c r="P4988" s="1" t="s">
        <v>5475</v>
      </c>
      <c r="Q4988" s="3">
        <v>0</v>
      </c>
      <c r="S4988" s="23" t="s">
        <v>5949</v>
      </c>
      <c r="W4988" s="45" t="str">
        <f>HYPERLINK("http://ictvonline.org/taxonomy/p/taxonomy-history?taxnode_id=201855867","ICTVonline=201855867")</f>
        <v>ICTVonline=201855867</v>
      </c>
      <c r="AA4988" s="1">
        <v>201850000</v>
      </c>
      <c r="AB4988" s="1">
        <v>34</v>
      </c>
    </row>
    <row r="4989" spans="1:28" x14ac:dyDescent="0.15">
      <c r="A4989" s="1">
        <v>12401</v>
      </c>
      <c r="L4989" s="1" t="s">
        <v>830</v>
      </c>
      <c r="M4989" s="1" t="s">
        <v>5471</v>
      </c>
      <c r="N4989" s="1" t="s">
        <v>2488</v>
      </c>
      <c r="P4989" s="1" t="s">
        <v>2489</v>
      </c>
      <c r="Q4989" s="3">
        <v>1</v>
      </c>
      <c r="S4989" s="23" t="s">
        <v>5949</v>
      </c>
      <c r="W4989" s="45" t="str">
        <f>HYPERLINK("http://ictvonline.org/taxonomy/p/taxonomy-history?taxnode_id=201854021","ICTVonline=201854021")</f>
        <v>ICTVonline=201854021</v>
      </c>
      <c r="AA4989" s="1">
        <v>201850000</v>
      </c>
      <c r="AB4989" s="1">
        <v>34</v>
      </c>
    </row>
    <row r="4990" spans="1:28" x14ac:dyDescent="0.15">
      <c r="A4990" s="1">
        <v>12405</v>
      </c>
      <c r="L4990" s="1" t="s">
        <v>830</v>
      </c>
      <c r="M4990" s="1" t="s">
        <v>5471</v>
      </c>
      <c r="N4990" s="1" t="s">
        <v>2490</v>
      </c>
      <c r="P4990" s="1" t="s">
        <v>2491</v>
      </c>
      <c r="Q4990" s="3">
        <v>1</v>
      </c>
      <c r="S4990" s="23" t="s">
        <v>5949</v>
      </c>
      <c r="W4990" s="45" t="str">
        <f>HYPERLINK("http://ictvonline.org/taxonomy/p/taxonomy-history?taxnode_id=201854023","ICTVonline=201854023")</f>
        <v>ICTVonline=201854023</v>
      </c>
      <c r="AA4990" s="1">
        <v>201850000</v>
      </c>
      <c r="AB4990" s="1">
        <v>34</v>
      </c>
    </row>
    <row r="4991" spans="1:28" x14ac:dyDescent="0.15">
      <c r="A4991" s="1">
        <v>12409</v>
      </c>
      <c r="L4991" s="1" t="s">
        <v>830</v>
      </c>
      <c r="M4991" s="1" t="s">
        <v>5471</v>
      </c>
      <c r="N4991" s="1" t="s">
        <v>2492</v>
      </c>
      <c r="P4991" s="1" t="s">
        <v>2493</v>
      </c>
      <c r="Q4991" s="3">
        <v>1</v>
      </c>
      <c r="S4991" s="23" t="s">
        <v>5949</v>
      </c>
      <c r="W4991" s="45" t="str">
        <f>HYPERLINK("http://ictvonline.org/taxonomy/p/taxonomy-history?taxnode_id=201854025","ICTVonline=201854025")</f>
        <v>ICTVonline=201854025</v>
      </c>
      <c r="AA4991" s="1">
        <v>201850000</v>
      </c>
      <c r="AB4991" s="1">
        <v>34</v>
      </c>
    </row>
    <row r="4992" spans="1:28" x14ac:dyDescent="0.15">
      <c r="A4992" s="1">
        <v>12413</v>
      </c>
      <c r="L4992" s="1" t="s">
        <v>830</v>
      </c>
      <c r="M4992" s="1" t="s">
        <v>5471</v>
      </c>
      <c r="N4992" s="1" t="s">
        <v>4045</v>
      </c>
      <c r="P4992" s="1" t="s">
        <v>3884</v>
      </c>
      <c r="Q4992" s="3">
        <v>1</v>
      </c>
      <c r="S4992" s="23" t="s">
        <v>5949</v>
      </c>
      <c r="W4992" s="45" t="str">
        <f>HYPERLINK("http://ictvonline.org/taxonomy/p/taxonomy-history?taxnode_id=201854027","ICTVonline=201854027")</f>
        <v>ICTVonline=201854027</v>
      </c>
      <c r="AA4992" s="1">
        <v>201850000</v>
      </c>
      <c r="AB4992" s="1">
        <v>34</v>
      </c>
    </row>
    <row r="4993" spans="1:28" x14ac:dyDescent="0.15">
      <c r="A4993" s="1">
        <v>12417</v>
      </c>
      <c r="L4993" s="1" t="s">
        <v>830</v>
      </c>
      <c r="M4993" s="1" t="s">
        <v>5471</v>
      </c>
      <c r="N4993" s="1" t="s">
        <v>2494</v>
      </c>
      <c r="P4993" s="1" t="s">
        <v>2495</v>
      </c>
      <c r="Q4993" s="3">
        <v>1</v>
      </c>
      <c r="S4993" s="23" t="s">
        <v>5949</v>
      </c>
      <c r="W4993" s="45" t="str">
        <f>HYPERLINK("http://ictvonline.org/taxonomy/p/taxonomy-history?taxnode_id=201854029","ICTVonline=201854029")</f>
        <v>ICTVonline=201854029</v>
      </c>
      <c r="AA4993" s="1">
        <v>201850000</v>
      </c>
      <c r="AB4993" s="1">
        <v>34</v>
      </c>
    </row>
    <row r="4994" spans="1:28" x14ac:dyDescent="0.15">
      <c r="A4994" s="1">
        <v>12421</v>
      </c>
      <c r="L4994" s="1" t="s">
        <v>830</v>
      </c>
      <c r="M4994" s="1" t="s">
        <v>5471</v>
      </c>
      <c r="N4994" s="1" t="s">
        <v>3885</v>
      </c>
      <c r="P4994" s="1" t="s">
        <v>3886</v>
      </c>
      <c r="Q4994" s="3">
        <v>1</v>
      </c>
      <c r="S4994" s="23" t="s">
        <v>5949</v>
      </c>
      <c r="W4994" s="45" t="str">
        <f>HYPERLINK("http://ictvonline.org/taxonomy/p/taxonomy-history?taxnode_id=201854031","ICTVonline=201854031")</f>
        <v>ICTVonline=201854031</v>
      </c>
      <c r="AA4994" s="1">
        <v>201850000</v>
      </c>
      <c r="AB4994" s="1">
        <v>34</v>
      </c>
    </row>
    <row r="4995" spans="1:28" x14ac:dyDescent="0.15">
      <c r="A4995" s="1">
        <v>12425</v>
      </c>
      <c r="L4995" s="1" t="s">
        <v>830</v>
      </c>
      <c r="M4995" s="1" t="s">
        <v>5471</v>
      </c>
      <c r="N4995" s="1" t="s">
        <v>2496</v>
      </c>
      <c r="P4995" s="1" t="s">
        <v>2497</v>
      </c>
      <c r="Q4995" s="3">
        <v>1</v>
      </c>
      <c r="S4995" s="23" t="s">
        <v>5949</v>
      </c>
      <c r="W4995" s="45" t="str">
        <f>HYPERLINK("http://ictvonline.org/taxonomy/p/taxonomy-history?taxnode_id=201854033","ICTVonline=201854033")</f>
        <v>ICTVonline=201854033</v>
      </c>
      <c r="AA4995" s="1">
        <v>201850000</v>
      </c>
      <c r="AB4995" s="1">
        <v>34</v>
      </c>
    </row>
    <row r="4996" spans="1:28" x14ac:dyDescent="0.15">
      <c r="A4996" s="1">
        <v>12429</v>
      </c>
      <c r="L4996" s="1" t="s">
        <v>830</v>
      </c>
      <c r="M4996" s="1" t="s">
        <v>5471</v>
      </c>
      <c r="N4996" s="1" t="s">
        <v>3887</v>
      </c>
      <c r="P4996" s="1" t="s">
        <v>3888</v>
      </c>
      <c r="Q4996" s="3">
        <v>1</v>
      </c>
      <c r="S4996" s="23" t="s">
        <v>5949</v>
      </c>
      <c r="W4996" s="45" t="str">
        <f>HYPERLINK("http://ictvonline.org/taxonomy/p/taxonomy-history?taxnode_id=201854035","ICTVonline=201854035")</f>
        <v>ICTVonline=201854035</v>
      </c>
      <c r="AA4996" s="1">
        <v>201850000</v>
      </c>
      <c r="AB4996" s="1">
        <v>34</v>
      </c>
    </row>
    <row r="4997" spans="1:28" x14ac:dyDescent="0.15">
      <c r="A4997" s="1">
        <v>12433</v>
      </c>
      <c r="L4997" s="1" t="s">
        <v>830</v>
      </c>
      <c r="M4997" s="1" t="s">
        <v>5471</v>
      </c>
      <c r="N4997" s="1" t="s">
        <v>2498</v>
      </c>
      <c r="P4997" s="1" t="s">
        <v>2499</v>
      </c>
      <c r="Q4997" s="3">
        <v>1</v>
      </c>
      <c r="S4997" s="23" t="s">
        <v>5949</v>
      </c>
      <c r="W4997" s="45" t="str">
        <f>HYPERLINK("http://ictvonline.org/taxonomy/p/taxonomy-history?taxnode_id=201854037","ICTVonline=201854037")</f>
        <v>ICTVonline=201854037</v>
      </c>
      <c r="AA4997" s="1">
        <v>201850000</v>
      </c>
      <c r="AB4997" s="1">
        <v>34</v>
      </c>
    </row>
    <row r="4998" spans="1:28" x14ac:dyDescent="0.15">
      <c r="A4998" s="1">
        <v>12437</v>
      </c>
      <c r="L4998" s="1" t="s">
        <v>830</v>
      </c>
      <c r="M4998" s="1" t="s">
        <v>5471</v>
      </c>
      <c r="N4998" s="1" t="s">
        <v>2500</v>
      </c>
      <c r="P4998" s="1" t="s">
        <v>2501</v>
      </c>
      <c r="Q4998" s="3">
        <v>1</v>
      </c>
      <c r="S4998" s="23" t="s">
        <v>5949</v>
      </c>
      <c r="W4998" s="45" t="str">
        <f>HYPERLINK("http://ictvonline.org/taxonomy/p/taxonomy-history?taxnode_id=201854039","ICTVonline=201854039")</f>
        <v>ICTVonline=201854039</v>
      </c>
      <c r="AA4998" s="1">
        <v>201850000</v>
      </c>
      <c r="AB4998" s="1">
        <v>34</v>
      </c>
    </row>
    <row r="4999" spans="1:28" x14ac:dyDescent="0.15">
      <c r="A4999" s="1">
        <v>12441</v>
      </c>
      <c r="L4999" s="1" t="s">
        <v>830</v>
      </c>
      <c r="M4999" s="1" t="s">
        <v>5471</v>
      </c>
      <c r="N4999" s="1" t="s">
        <v>3889</v>
      </c>
      <c r="P4999" s="1" t="s">
        <v>3890</v>
      </c>
      <c r="Q4999" s="3">
        <v>1</v>
      </c>
      <c r="S4999" s="23" t="s">
        <v>5949</v>
      </c>
      <c r="W4999" s="45" t="str">
        <f>HYPERLINK("http://ictvonline.org/taxonomy/p/taxonomy-history?taxnode_id=201854041","ICTVonline=201854041")</f>
        <v>ICTVonline=201854041</v>
      </c>
      <c r="AA4999" s="1">
        <v>201850000</v>
      </c>
      <c r="AB4999" s="1">
        <v>34</v>
      </c>
    </row>
    <row r="5000" spans="1:28" x14ac:dyDescent="0.15">
      <c r="A5000" s="1">
        <v>12445</v>
      </c>
      <c r="L5000" s="1" t="s">
        <v>830</v>
      </c>
      <c r="M5000" s="1" t="s">
        <v>5471</v>
      </c>
      <c r="N5000" s="1" t="s">
        <v>142</v>
      </c>
      <c r="P5000" s="1" t="s">
        <v>143</v>
      </c>
      <c r="Q5000" s="3">
        <v>1</v>
      </c>
      <c r="S5000" s="23" t="s">
        <v>5949</v>
      </c>
      <c r="W5000" s="45" t="str">
        <f>HYPERLINK("http://ictvonline.org/taxonomy/p/taxonomy-history?taxnode_id=201854043","ICTVonline=201854043")</f>
        <v>ICTVonline=201854043</v>
      </c>
      <c r="AA5000" s="1">
        <v>201850000</v>
      </c>
      <c r="AB5000" s="1">
        <v>34</v>
      </c>
    </row>
    <row r="5001" spans="1:28" x14ac:dyDescent="0.15">
      <c r="A5001" s="1">
        <v>12449</v>
      </c>
      <c r="L5001" s="1" t="s">
        <v>830</v>
      </c>
      <c r="M5001" s="1" t="s">
        <v>5471</v>
      </c>
      <c r="N5001" s="1" t="s">
        <v>3891</v>
      </c>
      <c r="P5001" s="1" t="s">
        <v>3892</v>
      </c>
      <c r="Q5001" s="3">
        <v>1</v>
      </c>
      <c r="S5001" s="23" t="s">
        <v>5949</v>
      </c>
      <c r="W5001" s="45" t="str">
        <f>HYPERLINK("http://ictvonline.org/taxonomy/p/taxonomy-history?taxnode_id=201854045","ICTVonline=201854045")</f>
        <v>ICTVonline=201854045</v>
      </c>
      <c r="AA5001" s="1">
        <v>201850000</v>
      </c>
      <c r="AB5001" s="1">
        <v>34</v>
      </c>
    </row>
    <row r="5002" spans="1:28" x14ac:dyDescent="0.15">
      <c r="A5002" s="1">
        <v>12453</v>
      </c>
      <c r="L5002" s="1" t="s">
        <v>830</v>
      </c>
      <c r="M5002" s="1" t="s">
        <v>5471</v>
      </c>
      <c r="N5002" s="1" t="s">
        <v>2502</v>
      </c>
      <c r="P5002" s="1" t="s">
        <v>2503</v>
      </c>
      <c r="Q5002" s="3">
        <v>1</v>
      </c>
      <c r="S5002" s="23" t="s">
        <v>5949</v>
      </c>
      <c r="W5002" s="45" t="str">
        <f>HYPERLINK("http://ictvonline.org/taxonomy/p/taxonomy-history?taxnode_id=201854047","ICTVonline=201854047")</f>
        <v>ICTVonline=201854047</v>
      </c>
      <c r="AA5002" s="1">
        <v>201850000</v>
      </c>
      <c r="AB5002" s="1">
        <v>34</v>
      </c>
    </row>
    <row r="5003" spans="1:28" x14ac:dyDescent="0.15">
      <c r="A5003" s="1">
        <v>12455</v>
      </c>
      <c r="L5003" s="1" t="s">
        <v>830</v>
      </c>
      <c r="M5003" s="1" t="s">
        <v>5471</v>
      </c>
      <c r="N5003" s="1" t="s">
        <v>2502</v>
      </c>
      <c r="P5003" s="1" t="s">
        <v>5476</v>
      </c>
      <c r="Q5003" s="3">
        <v>0</v>
      </c>
      <c r="S5003" s="23" t="s">
        <v>5949</v>
      </c>
      <c r="W5003" s="45" t="str">
        <f>HYPERLINK("http://ictvonline.org/taxonomy/p/taxonomy-history?taxnode_id=201855868","ICTVonline=201855868")</f>
        <v>ICTVonline=201855868</v>
      </c>
      <c r="AA5003" s="1">
        <v>201850000</v>
      </c>
      <c r="AB5003" s="1">
        <v>34</v>
      </c>
    </row>
    <row r="5004" spans="1:28" x14ac:dyDescent="0.15">
      <c r="A5004" s="1">
        <v>12459</v>
      </c>
      <c r="L5004" s="1" t="s">
        <v>830</v>
      </c>
      <c r="M5004" s="1" t="s">
        <v>5471</v>
      </c>
      <c r="N5004" s="1" t="s">
        <v>144</v>
      </c>
      <c r="P5004" s="1" t="s">
        <v>145</v>
      </c>
      <c r="Q5004" s="3">
        <v>1</v>
      </c>
      <c r="S5004" s="23" t="s">
        <v>5949</v>
      </c>
      <c r="W5004" s="45" t="str">
        <f>HYPERLINK("http://ictvonline.org/taxonomy/p/taxonomy-history?taxnode_id=201854049","ICTVonline=201854049")</f>
        <v>ICTVonline=201854049</v>
      </c>
      <c r="AA5004" s="1">
        <v>201850000</v>
      </c>
      <c r="AB5004" s="1">
        <v>34</v>
      </c>
    </row>
    <row r="5005" spans="1:28" x14ac:dyDescent="0.15">
      <c r="A5005" s="1">
        <v>12463</v>
      </c>
      <c r="L5005" s="1" t="s">
        <v>830</v>
      </c>
      <c r="M5005" s="1" t="s">
        <v>5471</v>
      </c>
      <c r="N5005" s="1" t="s">
        <v>841</v>
      </c>
      <c r="P5005" s="1" t="s">
        <v>146</v>
      </c>
      <c r="Q5005" s="3">
        <v>1</v>
      </c>
      <c r="S5005" s="23" t="s">
        <v>5949</v>
      </c>
      <c r="W5005" s="45" t="str">
        <f>HYPERLINK("http://ictvonline.org/taxonomy/p/taxonomy-history?taxnode_id=201854051","ICTVonline=201854051")</f>
        <v>ICTVonline=201854051</v>
      </c>
      <c r="AA5005" s="1">
        <v>201850000</v>
      </c>
      <c r="AB5005" s="1">
        <v>34</v>
      </c>
    </row>
    <row r="5006" spans="1:28" x14ac:dyDescent="0.15">
      <c r="A5006" s="1">
        <v>12465</v>
      </c>
      <c r="L5006" s="1" t="s">
        <v>830</v>
      </c>
      <c r="M5006" s="1" t="s">
        <v>5471</v>
      </c>
      <c r="N5006" s="1" t="s">
        <v>841</v>
      </c>
      <c r="P5006" s="1" t="s">
        <v>5477</v>
      </c>
      <c r="Q5006" s="3">
        <v>0</v>
      </c>
      <c r="S5006" s="23" t="s">
        <v>5949</v>
      </c>
      <c r="W5006" s="45" t="str">
        <f>HYPERLINK("http://ictvonline.org/taxonomy/p/taxonomy-history?taxnode_id=201855869","ICTVonline=201855869")</f>
        <v>ICTVonline=201855869</v>
      </c>
      <c r="AA5006" s="1">
        <v>201850000</v>
      </c>
      <c r="AB5006" s="1">
        <v>34</v>
      </c>
    </row>
    <row r="5007" spans="1:28" x14ac:dyDescent="0.15">
      <c r="A5007" s="1">
        <v>12469</v>
      </c>
      <c r="L5007" s="1" t="s">
        <v>830</v>
      </c>
      <c r="M5007" s="1" t="s">
        <v>5471</v>
      </c>
      <c r="N5007" s="1" t="s">
        <v>928</v>
      </c>
      <c r="P5007" s="1" t="s">
        <v>147</v>
      </c>
      <c r="Q5007" s="3">
        <v>1</v>
      </c>
      <c r="S5007" s="23" t="s">
        <v>5949</v>
      </c>
      <c r="W5007" s="45" t="str">
        <f>HYPERLINK("http://ictvonline.org/taxonomy/p/taxonomy-history?taxnode_id=201854053","ICTVonline=201854053")</f>
        <v>ICTVonline=201854053</v>
      </c>
      <c r="AA5007" s="1">
        <v>201850000</v>
      </c>
      <c r="AB5007" s="1">
        <v>34</v>
      </c>
    </row>
    <row r="5008" spans="1:28" x14ac:dyDescent="0.15">
      <c r="A5008" s="1">
        <v>12473</v>
      </c>
      <c r="L5008" s="1" t="s">
        <v>830</v>
      </c>
      <c r="M5008" s="1" t="s">
        <v>5471</v>
      </c>
      <c r="N5008" s="1" t="s">
        <v>929</v>
      </c>
      <c r="P5008" s="1" t="s">
        <v>148</v>
      </c>
      <c r="Q5008" s="3">
        <v>1</v>
      </c>
      <c r="S5008" s="23" t="s">
        <v>5949</v>
      </c>
      <c r="W5008" s="45" t="str">
        <f>HYPERLINK("http://ictvonline.org/taxonomy/p/taxonomy-history?taxnode_id=201854055","ICTVonline=201854055")</f>
        <v>ICTVonline=201854055</v>
      </c>
      <c r="AA5008" s="1">
        <v>201850000</v>
      </c>
      <c r="AB5008" s="1">
        <v>34</v>
      </c>
    </row>
    <row r="5009" spans="1:28" x14ac:dyDescent="0.15">
      <c r="A5009" s="1">
        <v>12475</v>
      </c>
      <c r="L5009" s="1" t="s">
        <v>830</v>
      </c>
      <c r="M5009" s="1" t="s">
        <v>5471</v>
      </c>
      <c r="N5009" s="1" t="s">
        <v>929</v>
      </c>
      <c r="P5009" s="1" t="s">
        <v>150</v>
      </c>
      <c r="Q5009" s="3">
        <v>0</v>
      </c>
      <c r="S5009" s="23" t="s">
        <v>5949</v>
      </c>
      <c r="W5009" s="45" t="str">
        <f>HYPERLINK("http://ictvonline.org/taxonomy/p/taxonomy-history?taxnode_id=201854056","ICTVonline=201854056")</f>
        <v>ICTVonline=201854056</v>
      </c>
      <c r="AA5009" s="1">
        <v>201850000</v>
      </c>
      <c r="AB5009" s="1">
        <v>34</v>
      </c>
    </row>
    <row r="5010" spans="1:28" x14ac:dyDescent="0.15">
      <c r="A5010" s="1">
        <v>12477</v>
      </c>
      <c r="L5010" s="1" t="s">
        <v>830</v>
      </c>
      <c r="M5010" s="1" t="s">
        <v>5471</v>
      </c>
      <c r="N5010" s="1" t="s">
        <v>929</v>
      </c>
      <c r="P5010" s="1" t="s">
        <v>151</v>
      </c>
      <c r="Q5010" s="3">
        <v>0</v>
      </c>
      <c r="S5010" s="23" t="s">
        <v>5949</v>
      </c>
      <c r="W5010" s="45" t="str">
        <f>HYPERLINK("http://ictvonline.org/taxonomy/p/taxonomy-history?taxnode_id=201854057","ICTVonline=201854057")</f>
        <v>ICTVonline=201854057</v>
      </c>
      <c r="AA5010" s="1">
        <v>201850000</v>
      </c>
      <c r="AB5010" s="1">
        <v>34</v>
      </c>
    </row>
    <row r="5011" spans="1:28" x14ac:dyDescent="0.15">
      <c r="A5011" s="1">
        <v>12479</v>
      </c>
      <c r="L5011" s="1" t="s">
        <v>830</v>
      </c>
      <c r="M5011" s="1" t="s">
        <v>5471</v>
      </c>
      <c r="N5011" s="1" t="s">
        <v>929</v>
      </c>
      <c r="P5011" s="1" t="s">
        <v>152</v>
      </c>
      <c r="Q5011" s="3">
        <v>0</v>
      </c>
      <c r="S5011" s="23" t="s">
        <v>5949</v>
      </c>
      <c r="W5011" s="45" t="str">
        <f>HYPERLINK("http://ictvonline.org/taxonomy/p/taxonomy-history?taxnode_id=201854058","ICTVonline=201854058")</f>
        <v>ICTVonline=201854058</v>
      </c>
      <c r="AA5011" s="1">
        <v>201850000</v>
      </c>
      <c r="AB5011" s="1">
        <v>34</v>
      </c>
    </row>
    <row r="5012" spans="1:28" x14ac:dyDescent="0.15">
      <c r="A5012" s="1">
        <v>12481</v>
      </c>
      <c r="L5012" s="1" t="s">
        <v>830</v>
      </c>
      <c r="M5012" s="1" t="s">
        <v>5471</v>
      </c>
      <c r="N5012" s="1" t="s">
        <v>929</v>
      </c>
      <c r="P5012" s="1" t="s">
        <v>153</v>
      </c>
      <c r="Q5012" s="3">
        <v>0</v>
      </c>
      <c r="S5012" s="23" t="s">
        <v>5949</v>
      </c>
      <c r="W5012" s="45" t="str">
        <f>HYPERLINK("http://ictvonline.org/taxonomy/p/taxonomy-history?taxnode_id=201854059","ICTVonline=201854059")</f>
        <v>ICTVonline=201854059</v>
      </c>
      <c r="AA5012" s="1">
        <v>201850000</v>
      </c>
      <c r="AB5012" s="1">
        <v>34</v>
      </c>
    </row>
    <row r="5013" spans="1:28" x14ac:dyDescent="0.15">
      <c r="A5013" s="1">
        <v>12483</v>
      </c>
      <c r="L5013" s="1" t="s">
        <v>830</v>
      </c>
      <c r="M5013" s="1" t="s">
        <v>5471</v>
      </c>
      <c r="N5013" s="1" t="s">
        <v>929</v>
      </c>
      <c r="P5013" s="1" t="s">
        <v>154</v>
      </c>
      <c r="Q5013" s="3">
        <v>0</v>
      </c>
      <c r="S5013" s="23" t="s">
        <v>5949</v>
      </c>
      <c r="W5013" s="45" t="str">
        <f>HYPERLINK("http://ictvonline.org/taxonomy/p/taxonomy-history?taxnode_id=201854060","ICTVonline=201854060")</f>
        <v>ICTVonline=201854060</v>
      </c>
      <c r="AA5013" s="1">
        <v>201850000</v>
      </c>
      <c r="AB5013" s="1">
        <v>34</v>
      </c>
    </row>
    <row r="5014" spans="1:28" x14ac:dyDescent="0.15">
      <c r="A5014" s="1">
        <v>12485</v>
      </c>
      <c r="L5014" s="1" t="s">
        <v>830</v>
      </c>
      <c r="M5014" s="1" t="s">
        <v>5471</v>
      </c>
      <c r="N5014" s="1" t="s">
        <v>929</v>
      </c>
      <c r="P5014" s="1" t="s">
        <v>155</v>
      </c>
      <c r="Q5014" s="3">
        <v>0</v>
      </c>
      <c r="S5014" s="23" t="s">
        <v>5949</v>
      </c>
      <c r="W5014" s="45" t="str">
        <f>HYPERLINK("http://ictvonline.org/taxonomy/p/taxonomy-history?taxnode_id=201854061","ICTVonline=201854061")</f>
        <v>ICTVonline=201854061</v>
      </c>
      <c r="AA5014" s="1">
        <v>201850000</v>
      </c>
      <c r="AB5014" s="1">
        <v>34</v>
      </c>
    </row>
    <row r="5015" spans="1:28" x14ac:dyDescent="0.15">
      <c r="A5015" s="1">
        <v>12487</v>
      </c>
      <c r="L5015" s="1" t="s">
        <v>830</v>
      </c>
      <c r="M5015" s="1" t="s">
        <v>5471</v>
      </c>
      <c r="N5015" s="1" t="s">
        <v>929</v>
      </c>
      <c r="P5015" s="1" t="s">
        <v>156</v>
      </c>
      <c r="Q5015" s="3">
        <v>0</v>
      </c>
      <c r="S5015" s="23" t="s">
        <v>5949</v>
      </c>
      <c r="W5015" s="45" t="str">
        <f>HYPERLINK("http://ictvonline.org/taxonomy/p/taxonomy-history?taxnode_id=201854062","ICTVonline=201854062")</f>
        <v>ICTVonline=201854062</v>
      </c>
      <c r="AA5015" s="1">
        <v>201850000</v>
      </c>
      <c r="AB5015" s="1">
        <v>34</v>
      </c>
    </row>
    <row r="5016" spans="1:28" x14ac:dyDescent="0.15">
      <c r="A5016" s="1">
        <v>12489</v>
      </c>
      <c r="L5016" s="1" t="s">
        <v>830</v>
      </c>
      <c r="M5016" s="1" t="s">
        <v>5471</v>
      </c>
      <c r="N5016" s="1" t="s">
        <v>929</v>
      </c>
      <c r="P5016" s="1" t="s">
        <v>157</v>
      </c>
      <c r="Q5016" s="3">
        <v>0</v>
      </c>
      <c r="S5016" s="23" t="s">
        <v>5949</v>
      </c>
      <c r="W5016" s="45" t="str">
        <f>HYPERLINK("http://ictvonline.org/taxonomy/p/taxonomy-history?taxnode_id=201854063","ICTVonline=201854063")</f>
        <v>ICTVonline=201854063</v>
      </c>
      <c r="AA5016" s="1">
        <v>201850000</v>
      </c>
      <c r="AB5016" s="1">
        <v>34</v>
      </c>
    </row>
    <row r="5017" spans="1:28" x14ac:dyDescent="0.15">
      <c r="A5017" s="1">
        <v>12491</v>
      </c>
      <c r="L5017" s="1" t="s">
        <v>830</v>
      </c>
      <c r="M5017" s="1" t="s">
        <v>5471</v>
      </c>
      <c r="N5017" s="1" t="s">
        <v>929</v>
      </c>
      <c r="P5017" s="1" t="s">
        <v>149</v>
      </c>
      <c r="Q5017" s="3">
        <v>0</v>
      </c>
      <c r="S5017" s="23" t="s">
        <v>5949</v>
      </c>
      <c r="W5017" s="45" t="str">
        <f>HYPERLINK("http://ictvonline.org/taxonomy/p/taxonomy-history?taxnode_id=201854064","ICTVonline=201854064")</f>
        <v>ICTVonline=201854064</v>
      </c>
      <c r="AA5017" s="1">
        <v>201850000</v>
      </c>
      <c r="AB5017" s="1">
        <v>34</v>
      </c>
    </row>
    <row r="5018" spans="1:28" x14ac:dyDescent="0.15">
      <c r="A5018" s="1">
        <v>12493</v>
      </c>
      <c r="L5018" s="1" t="s">
        <v>830</v>
      </c>
      <c r="M5018" s="1" t="s">
        <v>5471</v>
      </c>
      <c r="N5018" s="1" t="s">
        <v>929</v>
      </c>
      <c r="P5018" s="1" t="s">
        <v>2504</v>
      </c>
      <c r="Q5018" s="3">
        <v>0</v>
      </c>
      <c r="S5018" s="23" t="s">
        <v>5949</v>
      </c>
      <c r="W5018" s="45" t="str">
        <f>HYPERLINK("http://ictvonline.org/taxonomy/p/taxonomy-history?taxnode_id=201854065","ICTVonline=201854065")</f>
        <v>ICTVonline=201854065</v>
      </c>
      <c r="AA5018" s="1">
        <v>201850000</v>
      </c>
      <c r="AB5018" s="1">
        <v>34</v>
      </c>
    </row>
    <row r="5019" spans="1:28" x14ac:dyDescent="0.15">
      <c r="A5019" s="1">
        <v>12495</v>
      </c>
      <c r="L5019" s="1" t="s">
        <v>830</v>
      </c>
      <c r="M5019" s="1" t="s">
        <v>5471</v>
      </c>
      <c r="N5019" s="1" t="s">
        <v>929</v>
      </c>
      <c r="P5019" s="1" t="s">
        <v>2505</v>
      </c>
      <c r="Q5019" s="3">
        <v>0</v>
      </c>
      <c r="S5019" s="23" t="s">
        <v>5949</v>
      </c>
      <c r="W5019" s="45" t="str">
        <f>HYPERLINK("http://ictvonline.org/taxonomy/p/taxonomy-history?taxnode_id=201854066","ICTVonline=201854066")</f>
        <v>ICTVonline=201854066</v>
      </c>
      <c r="AA5019" s="1">
        <v>201850000</v>
      </c>
      <c r="AB5019" s="1">
        <v>34</v>
      </c>
    </row>
    <row r="5020" spans="1:28" x14ac:dyDescent="0.15">
      <c r="A5020" s="1">
        <v>12497</v>
      </c>
      <c r="L5020" s="1" t="s">
        <v>830</v>
      </c>
      <c r="M5020" s="1" t="s">
        <v>5471</v>
      </c>
      <c r="N5020" s="1" t="s">
        <v>929</v>
      </c>
      <c r="P5020" s="1" t="s">
        <v>2506</v>
      </c>
      <c r="Q5020" s="3">
        <v>0</v>
      </c>
      <c r="S5020" s="23" t="s">
        <v>5949</v>
      </c>
      <c r="W5020" s="45" t="str">
        <f>HYPERLINK("http://ictvonline.org/taxonomy/p/taxonomy-history?taxnode_id=201854067","ICTVonline=201854067")</f>
        <v>ICTVonline=201854067</v>
      </c>
      <c r="AA5020" s="1">
        <v>201850000</v>
      </c>
      <c r="AB5020" s="1">
        <v>34</v>
      </c>
    </row>
    <row r="5021" spans="1:28" x14ac:dyDescent="0.15">
      <c r="A5021" s="1">
        <v>12499</v>
      </c>
      <c r="L5021" s="1" t="s">
        <v>830</v>
      </c>
      <c r="M5021" s="1" t="s">
        <v>5471</v>
      </c>
      <c r="N5021" s="1" t="s">
        <v>929</v>
      </c>
      <c r="P5021" s="1" t="s">
        <v>2507</v>
      </c>
      <c r="Q5021" s="3">
        <v>0</v>
      </c>
      <c r="S5021" s="23" t="s">
        <v>5949</v>
      </c>
      <c r="W5021" s="45" t="str">
        <f>HYPERLINK("http://ictvonline.org/taxonomy/p/taxonomy-history?taxnode_id=201854068","ICTVonline=201854068")</f>
        <v>ICTVonline=201854068</v>
      </c>
      <c r="AA5021" s="1">
        <v>201850000</v>
      </c>
      <c r="AB5021" s="1">
        <v>34</v>
      </c>
    </row>
    <row r="5022" spans="1:28" x14ac:dyDescent="0.15">
      <c r="A5022" s="1">
        <v>12501</v>
      </c>
      <c r="L5022" s="1" t="s">
        <v>830</v>
      </c>
      <c r="M5022" s="1" t="s">
        <v>5471</v>
      </c>
      <c r="N5022" s="1" t="s">
        <v>929</v>
      </c>
      <c r="P5022" s="1" t="s">
        <v>2508</v>
      </c>
      <c r="Q5022" s="3">
        <v>0</v>
      </c>
      <c r="S5022" s="23" t="s">
        <v>5949</v>
      </c>
      <c r="W5022" s="45" t="str">
        <f>HYPERLINK("http://ictvonline.org/taxonomy/p/taxonomy-history?taxnode_id=201854069","ICTVonline=201854069")</f>
        <v>ICTVonline=201854069</v>
      </c>
      <c r="AA5022" s="1">
        <v>201850000</v>
      </c>
      <c r="AB5022" s="1">
        <v>34</v>
      </c>
    </row>
    <row r="5023" spans="1:28" x14ac:dyDescent="0.15">
      <c r="A5023" s="1">
        <v>12503</v>
      </c>
      <c r="L5023" s="1" t="s">
        <v>830</v>
      </c>
      <c r="M5023" s="1" t="s">
        <v>5471</v>
      </c>
      <c r="N5023" s="1" t="s">
        <v>929</v>
      </c>
      <c r="P5023" s="1" t="s">
        <v>2509</v>
      </c>
      <c r="Q5023" s="3">
        <v>0</v>
      </c>
      <c r="S5023" s="23" t="s">
        <v>5949</v>
      </c>
      <c r="W5023" s="45" t="str">
        <f>HYPERLINK("http://ictvonline.org/taxonomy/p/taxonomy-history?taxnode_id=201854070","ICTVonline=201854070")</f>
        <v>ICTVonline=201854070</v>
      </c>
      <c r="AA5023" s="1">
        <v>201850000</v>
      </c>
      <c r="AB5023" s="1">
        <v>34</v>
      </c>
    </row>
    <row r="5024" spans="1:28" x14ac:dyDescent="0.15">
      <c r="A5024" s="1">
        <v>12505</v>
      </c>
      <c r="L5024" s="1" t="s">
        <v>830</v>
      </c>
      <c r="M5024" s="1" t="s">
        <v>5471</v>
      </c>
      <c r="N5024" s="1" t="s">
        <v>929</v>
      </c>
      <c r="P5024" s="1" t="s">
        <v>2510</v>
      </c>
      <c r="Q5024" s="3">
        <v>0</v>
      </c>
      <c r="S5024" s="23" t="s">
        <v>5949</v>
      </c>
      <c r="W5024" s="45" t="str">
        <f>HYPERLINK("http://ictvonline.org/taxonomy/p/taxonomy-history?taxnode_id=201854071","ICTVonline=201854071")</f>
        <v>ICTVonline=201854071</v>
      </c>
      <c r="AA5024" s="1">
        <v>201850000</v>
      </c>
      <c r="AB5024" s="1">
        <v>34</v>
      </c>
    </row>
    <row r="5025" spans="1:28" x14ac:dyDescent="0.15">
      <c r="A5025" s="1">
        <v>12507</v>
      </c>
      <c r="L5025" s="1" t="s">
        <v>830</v>
      </c>
      <c r="M5025" s="1" t="s">
        <v>5471</v>
      </c>
      <c r="N5025" s="1" t="s">
        <v>929</v>
      </c>
      <c r="P5025" s="1" t="s">
        <v>2511</v>
      </c>
      <c r="Q5025" s="3">
        <v>0</v>
      </c>
      <c r="S5025" s="23" t="s">
        <v>5949</v>
      </c>
      <c r="W5025" s="45" t="str">
        <f>HYPERLINK("http://ictvonline.org/taxonomy/p/taxonomy-history?taxnode_id=201854072","ICTVonline=201854072")</f>
        <v>ICTVonline=201854072</v>
      </c>
      <c r="AA5025" s="1">
        <v>201850000</v>
      </c>
      <c r="AB5025" s="1">
        <v>34</v>
      </c>
    </row>
    <row r="5026" spans="1:28" x14ac:dyDescent="0.15">
      <c r="A5026" s="1">
        <v>12509</v>
      </c>
      <c r="L5026" s="1" t="s">
        <v>830</v>
      </c>
      <c r="M5026" s="1" t="s">
        <v>5471</v>
      </c>
      <c r="N5026" s="1" t="s">
        <v>929</v>
      </c>
      <c r="P5026" s="1" t="s">
        <v>2512</v>
      </c>
      <c r="Q5026" s="3">
        <v>0</v>
      </c>
      <c r="S5026" s="23" t="s">
        <v>5949</v>
      </c>
      <c r="W5026" s="45" t="str">
        <f>HYPERLINK("http://ictvonline.org/taxonomy/p/taxonomy-history?taxnode_id=201854073","ICTVonline=201854073")</f>
        <v>ICTVonline=201854073</v>
      </c>
      <c r="AA5026" s="1">
        <v>201850000</v>
      </c>
      <c r="AB5026" s="1">
        <v>34</v>
      </c>
    </row>
    <row r="5027" spans="1:28" x14ac:dyDescent="0.15">
      <c r="A5027" s="1">
        <v>12511</v>
      </c>
      <c r="L5027" s="1" t="s">
        <v>830</v>
      </c>
      <c r="M5027" s="1" t="s">
        <v>5471</v>
      </c>
      <c r="N5027" s="1" t="s">
        <v>929</v>
      </c>
      <c r="P5027" s="1" t="s">
        <v>2513</v>
      </c>
      <c r="Q5027" s="3">
        <v>0</v>
      </c>
      <c r="S5027" s="23" t="s">
        <v>5949</v>
      </c>
      <c r="W5027" s="45" t="str">
        <f>HYPERLINK("http://ictvonline.org/taxonomy/p/taxonomy-history?taxnode_id=201854074","ICTVonline=201854074")</f>
        <v>ICTVonline=201854074</v>
      </c>
      <c r="AA5027" s="1">
        <v>201850000</v>
      </c>
      <c r="AB5027" s="1">
        <v>34</v>
      </c>
    </row>
    <row r="5028" spans="1:28" x14ac:dyDescent="0.15">
      <c r="A5028" s="1">
        <v>12513</v>
      </c>
      <c r="L5028" s="1" t="s">
        <v>830</v>
      </c>
      <c r="M5028" s="1" t="s">
        <v>5471</v>
      </c>
      <c r="N5028" s="1" t="s">
        <v>929</v>
      </c>
      <c r="P5028" s="1" t="s">
        <v>3893</v>
      </c>
      <c r="Q5028" s="3">
        <v>0</v>
      </c>
      <c r="S5028" s="23" t="s">
        <v>5949</v>
      </c>
      <c r="W5028" s="45" t="str">
        <f>HYPERLINK("http://ictvonline.org/taxonomy/p/taxonomy-history?taxnode_id=201854075","ICTVonline=201854075")</f>
        <v>ICTVonline=201854075</v>
      </c>
      <c r="AA5028" s="1">
        <v>201850000</v>
      </c>
      <c r="AB5028" s="1">
        <v>34</v>
      </c>
    </row>
    <row r="5029" spans="1:28" x14ac:dyDescent="0.15">
      <c r="A5029" s="1">
        <v>12515</v>
      </c>
      <c r="L5029" s="1" t="s">
        <v>830</v>
      </c>
      <c r="M5029" s="1" t="s">
        <v>5471</v>
      </c>
      <c r="N5029" s="1" t="s">
        <v>929</v>
      </c>
      <c r="P5029" s="1" t="s">
        <v>3894</v>
      </c>
      <c r="Q5029" s="3">
        <v>0</v>
      </c>
      <c r="S5029" s="23" t="s">
        <v>5949</v>
      </c>
      <c r="W5029" s="45" t="str">
        <f>HYPERLINK("http://ictvonline.org/taxonomy/p/taxonomy-history?taxnode_id=201854076","ICTVonline=201854076")</f>
        <v>ICTVonline=201854076</v>
      </c>
      <c r="AA5029" s="1">
        <v>201850000</v>
      </c>
      <c r="AB5029" s="1">
        <v>34</v>
      </c>
    </row>
    <row r="5030" spans="1:28" x14ac:dyDescent="0.15">
      <c r="A5030" s="1">
        <v>12517</v>
      </c>
      <c r="L5030" s="1" t="s">
        <v>830</v>
      </c>
      <c r="M5030" s="1" t="s">
        <v>5471</v>
      </c>
      <c r="N5030" s="1" t="s">
        <v>929</v>
      </c>
      <c r="P5030" s="1" t="s">
        <v>3895</v>
      </c>
      <c r="Q5030" s="3">
        <v>0</v>
      </c>
      <c r="S5030" s="23" t="s">
        <v>5949</v>
      </c>
      <c r="W5030" s="45" t="str">
        <f>HYPERLINK("http://ictvonline.org/taxonomy/p/taxonomy-history?taxnode_id=201854077","ICTVonline=201854077")</f>
        <v>ICTVonline=201854077</v>
      </c>
      <c r="AA5030" s="1">
        <v>201850000</v>
      </c>
      <c r="AB5030" s="1">
        <v>34</v>
      </c>
    </row>
    <row r="5031" spans="1:28" x14ac:dyDescent="0.15">
      <c r="A5031" s="1">
        <v>12519</v>
      </c>
      <c r="L5031" s="1" t="s">
        <v>830</v>
      </c>
      <c r="M5031" s="1" t="s">
        <v>5471</v>
      </c>
      <c r="N5031" s="1" t="s">
        <v>929</v>
      </c>
      <c r="P5031" s="1" t="s">
        <v>3896</v>
      </c>
      <c r="Q5031" s="3">
        <v>0</v>
      </c>
      <c r="S5031" s="23" t="s">
        <v>5949</v>
      </c>
      <c r="W5031" s="45" t="str">
        <f>HYPERLINK("http://ictvonline.org/taxonomy/p/taxonomy-history?taxnode_id=201854078","ICTVonline=201854078")</f>
        <v>ICTVonline=201854078</v>
      </c>
      <c r="AA5031" s="1">
        <v>201850000</v>
      </c>
      <c r="AB5031" s="1">
        <v>34</v>
      </c>
    </row>
    <row r="5032" spans="1:28" x14ac:dyDescent="0.15">
      <c r="A5032" s="1">
        <v>12521</v>
      </c>
      <c r="L5032" s="1" t="s">
        <v>830</v>
      </c>
      <c r="M5032" s="1" t="s">
        <v>5471</v>
      </c>
      <c r="N5032" s="1" t="s">
        <v>929</v>
      </c>
      <c r="P5032" s="1" t="s">
        <v>3897</v>
      </c>
      <c r="Q5032" s="3">
        <v>0</v>
      </c>
      <c r="S5032" s="23" t="s">
        <v>5949</v>
      </c>
      <c r="W5032" s="45" t="str">
        <f>HYPERLINK("http://ictvonline.org/taxonomy/p/taxonomy-history?taxnode_id=201854079","ICTVonline=201854079")</f>
        <v>ICTVonline=201854079</v>
      </c>
      <c r="AA5032" s="1">
        <v>201850000</v>
      </c>
      <c r="AB5032" s="1">
        <v>34</v>
      </c>
    </row>
    <row r="5033" spans="1:28" x14ac:dyDescent="0.15">
      <c r="A5033" s="1">
        <v>12523</v>
      </c>
      <c r="L5033" s="1" t="s">
        <v>830</v>
      </c>
      <c r="M5033" s="1" t="s">
        <v>5471</v>
      </c>
      <c r="N5033" s="1" t="s">
        <v>929</v>
      </c>
      <c r="P5033" s="1" t="s">
        <v>3898</v>
      </c>
      <c r="Q5033" s="3">
        <v>0</v>
      </c>
      <c r="S5033" s="23" t="s">
        <v>5949</v>
      </c>
      <c r="W5033" s="45" t="str">
        <f>HYPERLINK("http://ictvonline.org/taxonomy/p/taxonomy-history?taxnode_id=201854080","ICTVonline=201854080")</f>
        <v>ICTVonline=201854080</v>
      </c>
      <c r="AA5033" s="1">
        <v>201850000</v>
      </c>
      <c r="AB5033" s="1">
        <v>34</v>
      </c>
    </row>
    <row r="5034" spans="1:28" x14ac:dyDescent="0.15">
      <c r="A5034" s="1">
        <v>12525</v>
      </c>
      <c r="L5034" s="1" t="s">
        <v>830</v>
      </c>
      <c r="M5034" s="1" t="s">
        <v>5471</v>
      </c>
      <c r="N5034" s="1" t="s">
        <v>929</v>
      </c>
      <c r="P5034" s="1" t="s">
        <v>5478</v>
      </c>
      <c r="Q5034" s="3">
        <v>0</v>
      </c>
      <c r="S5034" s="23" t="s">
        <v>5949</v>
      </c>
      <c r="W5034" s="45" t="str">
        <f>HYPERLINK("http://ictvonline.org/taxonomy/p/taxonomy-history?taxnode_id=201855870","ICTVonline=201855870")</f>
        <v>ICTVonline=201855870</v>
      </c>
      <c r="AA5034" s="1">
        <v>201850000</v>
      </c>
      <c r="AB5034" s="1">
        <v>34</v>
      </c>
    </row>
    <row r="5035" spans="1:28" x14ac:dyDescent="0.15">
      <c r="A5035" s="1">
        <v>12529</v>
      </c>
      <c r="L5035" s="1" t="s">
        <v>830</v>
      </c>
      <c r="M5035" s="1" t="s">
        <v>5471</v>
      </c>
      <c r="N5035" s="1" t="s">
        <v>1053</v>
      </c>
      <c r="P5035" s="1" t="s">
        <v>158</v>
      </c>
      <c r="Q5035" s="3">
        <v>1</v>
      </c>
      <c r="S5035" s="23" t="s">
        <v>5949</v>
      </c>
      <c r="W5035" s="45" t="str">
        <f>HYPERLINK("http://ictvonline.org/taxonomy/p/taxonomy-history?taxnode_id=201854082","ICTVonline=201854082")</f>
        <v>ICTVonline=201854082</v>
      </c>
      <c r="AA5035" s="1">
        <v>201850000</v>
      </c>
      <c r="AB5035" s="1">
        <v>34</v>
      </c>
    </row>
    <row r="5036" spans="1:28" x14ac:dyDescent="0.15">
      <c r="A5036" s="1">
        <v>12531</v>
      </c>
      <c r="L5036" s="1" t="s">
        <v>830</v>
      </c>
      <c r="M5036" s="1" t="s">
        <v>5471</v>
      </c>
      <c r="N5036" s="1" t="s">
        <v>1053</v>
      </c>
      <c r="P5036" s="1" t="s">
        <v>5479</v>
      </c>
      <c r="Q5036" s="3">
        <v>0</v>
      </c>
      <c r="S5036" s="23" t="s">
        <v>5949</v>
      </c>
      <c r="W5036" s="45" t="str">
        <f>HYPERLINK("http://ictvonline.org/taxonomy/p/taxonomy-history?taxnode_id=201855871","ICTVonline=201855871")</f>
        <v>ICTVonline=201855871</v>
      </c>
      <c r="AA5036" s="1">
        <v>201850000</v>
      </c>
      <c r="AB5036" s="1">
        <v>34</v>
      </c>
    </row>
    <row r="5037" spans="1:28" x14ac:dyDescent="0.15">
      <c r="A5037" s="1">
        <v>12535</v>
      </c>
      <c r="L5037" s="1" t="s">
        <v>830</v>
      </c>
      <c r="M5037" s="1" t="s">
        <v>5471</v>
      </c>
      <c r="N5037" s="1" t="s">
        <v>1141</v>
      </c>
      <c r="P5037" s="1" t="s">
        <v>159</v>
      </c>
      <c r="Q5037" s="3">
        <v>0</v>
      </c>
      <c r="S5037" s="23" t="s">
        <v>5949</v>
      </c>
      <c r="W5037" s="45" t="str">
        <f>HYPERLINK("http://ictvonline.org/taxonomy/p/taxonomy-history?taxnode_id=201854084","ICTVonline=201854084")</f>
        <v>ICTVonline=201854084</v>
      </c>
      <c r="AA5037" s="1">
        <v>201850000</v>
      </c>
      <c r="AB5037" s="1">
        <v>34</v>
      </c>
    </row>
    <row r="5038" spans="1:28" x14ac:dyDescent="0.15">
      <c r="A5038" s="1">
        <v>12537</v>
      </c>
      <c r="L5038" s="1" t="s">
        <v>830</v>
      </c>
      <c r="M5038" s="1" t="s">
        <v>5471</v>
      </c>
      <c r="N5038" s="1" t="s">
        <v>1141</v>
      </c>
      <c r="P5038" s="1" t="s">
        <v>160</v>
      </c>
      <c r="Q5038" s="3">
        <v>1</v>
      </c>
      <c r="S5038" s="23" t="s">
        <v>5949</v>
      </c>
      <c r="W5038" s="45" t="str">
        <f>HYPERLINK("http://ictvonline.org/taxonomy/p/taxonomy-history?taxnode_id=201854085","ICTVonline=201854085")</f>
        <v>ICTVonline=201854085</v>
      </c>
      <c r="AA5038" s="1">
        <v>201850000</v>
      </c>
      <c r="AB5038" s="1">
        <v>34</v>
      </c>
    </row>
    <row r="5039" spans="1:28" x14ac:dyDescent="0.15">
      <c r="A5039" s="1">
        <v>12541</v>
      </c>
      <c r="L5039" s="1" t="s">
        <v>830</v>
      </c>
      <c r="M5039" s="1" t="s">
        <v>5471</v>
      </c>
      <c r="N5039" s="1" t="s">
        <v>1142</v>
      </c>
      <c r="P5039" s="1" t="s">
        <v>161</v>
      </c>
      <c r="Q5039" s="3">
        <v>0</v>
      </c>
      <c r="S5039" s="23" t="s">
        <v>5949</v>
      </c>
      <c r="W5039" s="45" t="str">
        <f>HYPERLINK("http://ictvonline.org/taxonomy/p/taxonomy-history?taxnode_id=201854087","ICTVonline=201854087")</f>
        <v>ICTVonline=201854087</v>
      </c>
      <c r="AA5039" s="1">
        <v>201850000</v>
      </c>
      <c r="AB5039" s="1">
        <v>34</v>
      </c>
    </row>
    <row r="5040" spans="1:28" x14ac:dyDescent="0.15">
      <c r="A5040" s="1">
        <v>12543</v>
      </c>
      <c r="L5040" s="1" t="s">
        <v>830</v>
      </c>
      <c r="M5040" s="1" t="s">
        <v>5471</v>
      </c>
      <c r="N5040" s="1" t="s">
        <v>1142</v>
      </c>
      <c r="P5040" s="1" t="s">
        <v>162</v>
      </c>
      <c r="Q5040" s="3">
        <v>1</v>
      </c>
      <c r="S5040" s="23" t="s">
        <v>5949</v>
      </c>
      <c r="W5040" s="45" t="str">
        <f>HYPERLINK("http://ictvonline.org/taxonomy/p/taxonomy-history?taxnode_id=201854088","ICTVonline=201854088")</f>
        <v>ICTVonline=201854088</v>
      </c>
      <c r="AA5040" s="1">
        <v>201850000</v>
      </c>
      <c r="AB5040" s="1">
        <v>34</v>
      </c>
    </row>
    <row r="5041" spans="1:28" x14ac:dyDescent="0.15">
      <c r="A5041" s="1">
        <v>12545</v>
      </c>
      <c r="L5041" s="1" t="s">
        <v>830</v>
      </c>
      <c r="M5041" s="1" t="s">
        <v>5471</v>
      </c>
      <c r="N5041" s="1" t="s">
        <v>1142</v>
      </c>
      <c r="P5041" s="1" t="s">
        <v>163</v>
      </c>
      <c r="Q5041" s="3">
        <v>0</v>
      </c>
      <c r="S5041" s="23" t="s">
        <v>5949</v>
      </c>
      <c r="W5041" s="45" t="str">
        <f>HYPERLINK("http://ictvonline.org/taxonomy/p/taxonomy-history?taxnode_id=201854089","ICTVonline=201854089")</f>
        <v>ICTVonline=201854089</v>
      </c>
      <c r="AA5041" s="1">
        <v>201850000</v>
      </c>
      <c r="AB5041" s="1">
        <v>34</v>
      </c>
    </row>
    <row r="5042" spans="1:28" x14ac:dyDescent="0.15">
      <c r="A5042" s="1">
        <v>12547</v>
      </c>
      <c r="L5042" s="1" t="s">
        <v>830</v>
      </c>
      <c r="M5042" s="1" t="s">
        <v>5471</v>
      </c>
      <c r="N5042" s="1" t="s">
        <v>1142</v>
      </c>
      <c r="P5042" s="1" t="s">
        <v>164</v>
      </c>
      <c r="Q5042" s="3">
        <v>0</v>
      </c>
      <c r="S5042" s="23" t="s">
        <v>5949</v>
      </c>
      <c r="W5042" s="45" t="str">
        <f>HYPERLINK("http://ictvonline.org/taxonomy/p/taxonomy-history?taxnode_id=201854090","ICTVonline=201854090")</f>
        <v>ICTVonline=201854090</v>
      </c>
      <c r="AA5042" s="1">
        <v>201850000</v>
      </c>
      <c r="AB5042" s="1">
        <v>34</v>
      </c>
    </row>
    <row r="5043" spans="1:28" x14ac:dyDescent="0.15">
      <c r="A5043" s="1">
        <v>12549</v>
      </c>
      <c r="L5043" s="1" t="s">
        <v>830</v>
      </c>
      <c r="M5043" s="1" t="s">
        <v>5471</v>
      </c>
      <c r="N5043" s="1" t="s">
        <v>1142</v>
      </c>
      <c r="P5043" s="1" t="s">
        <v>2514</v>
      </c>
      <c r="Q5043" s="3">
        <v>0</v>
      </c>
      <c r="S5043" s="23" t="s">
        <v>5949</v>
      </c>
      <c r="W5043" s="45" t="str">
        <f>HYPERLINK("http://ictvonline.org/taxonomy/p/taxonomy-history?taxnode_id=201854091","ICTVonline=201854091")</f>
        <v>ICTVonline=201854091</v>
      </c>
      <c r="AA5043" s="1">
        <v>201850000</v>
      </c>
      <c r="AB5043" s="1">
        <v>34</v>
      </c>
    </row>
    <row r="5044" spans="1:28" x14ac:dyDescent="0.15">
      <c r="A5044" s="1">
        <v>12553</v>
      </c>
      <c r="L5044" s="1" t="s">
        <v>830</v>
      </c>
      <c r="M5044" s="1" t="s">
        <v>5471</v>
      </c>
      <c r="N5044" s="1" t="s">
        <v>1143</v>
      </c>
      <c r="P5044" s="1" t="s">
        <v>165</v>
      </c>
      <c r="Q5044" s="3">
        <v>1</v>
      </c>
      <c r="S5044" s="23" t="s">
        <v>5949</v>
      </c>
      <c r="W5044" s="45" t="str">
        <f>HYPERLINK("http://ictvonline.org/taxonomy/p/taxonomy-history?taxnode_id=201854093","ICTVonline=201854093")</f>
        <v>ICTVonline=201854093</v>
      </c>
      <c r="AA5044" s="1">
        <v>201850000</v>
      </c>
      <c r="AB5044" s="1">
        <v>34</v>
      </c>
    </row>
    <row r="5045" spans="1:28" x14ac:dyDescent="0.15">
      <c r="A5045" s="1">
        <v>12555</v>
      </c>
      <c r="L5045" s="1" t="s">
        <v>830</v>
      </c>
      <c r="M5045" s="1" t="s">
        <v>5471</v>
      </c>
      <c r="N5045" s="1" t="s">
        <v>1143</v>
      </c>
      <c r="P5045" s="1" t="s">
        <v>166</v>
      </c>
      <c r="Q5045" s="3">
        <v>0</v>
      </c>
      <c r="S5045" s="23" t="s">
        <v>5949</v>
      </c>
      <c r="W5045" s="45" t="str">
        <f>HYPERLINK("http://ictvonline.org/taxonomy/p/taxonomy-history?taxnode_id=201854094","ICTVonline=201854094")</f>
        <v>ICTVonline=201854094</v>
      </c>
      <c r="AA5045" s="1">
        <v>201850000</v>
      </c>
      <c r="AB5045" s="1">
        <v>34</v>
      </c>
    </row>
    <row r="5046" spans="1:28" x14ac:dyDescent="0.15">
      <c r="A5046" s="1">
        <v>12557</v>
      </c>
      <c r="L5046" s="1" t="s">
        <v>830</v>
      </c>
      <c r="M5046" s="1" t="s">
        <v>5471</v>
      </c>
      <c r="N5046" s="1" t="s">
        <v>1143</v>
      </c>
      <c r="P5046" s="1" t="s">
        <v>3899</v>
      </c>
      <c r="Q5046" s="3">
        <v>0</v>
      </c>
      <c r="S5046" s="23" t="s">
        <v>5949</v>
      </c>
      <c r="W5046" s="45" t="str">
        <f>HYPERLINK("http://ictvonline.org/taxonomy/p/taxonomy-history?taxnode_id=201854095","ICTVonline=201854095")</f>
        <v>ICTVonline=201854095</v>
      </c>
      <c r="AA5046" s="1">
        <v>201850000</v>
      </c>
      <c r="AB5046" s="1">
        <v>34</v>
      </c>
    </row>
    <row r="5047" spans="1:28" x14ac:dyDescent="0.15">
      <c r="A5047" s="1">
        <v>12561</v>
      </c>
      <c r="L5047" s="1" t="s">
        <v>830</v>
      </c>
      <c r="M5047" s="1" t="s">
        <v>5471</v>
      </c>
      <c r="N5047" s="1" t="s">
        <v>1144</v>
      </c>
      <c r="P5047" s="1" t="s">
        <v>167</v>
      </c>
      <c r="Q5047" s="3">
        <v>1</v>
      </c>
      <c r="S5047" s="23" t="s">
        <v>5949</v>
      </c>
      <c r="W5047" s="45" t="str">
        <f>HYPERLINK("http://ictvonline.org/taxonomy/p/taxonomy-history?taxnode_id=201854097","ICTVonline=201854097")</f>
        <v>ICTVonline=201854097</v>
      </c>
      <c r="AA5047" s="1">
        <v>201850000</v>
      </c>
      <c r="AB5047" s="1">
        <v>34</v>
      </c>
    </row>
    <row r="5048" spans="1:28" x14ac:dyDescent="0.15">
      <c r="A5048" s="1">
        <v>12565</v>
      </c>
      <c r="L5048" s="1" t="s">
        <v>830</v>
      </c>
      <c r="M5048" s="1" t="s">
        <v>5471</v>
      </c>
      <c r="N5048" s="1" t="s">
        <v>168</v>
      </c>
      <c r="P5048" s="1" t="s">
        <v>169</v>
      </c>
      <c r="Q5048" s="3">
        <v>1</v>
      </c>
      <c r="S5048" s="23" t="s">
        <v>5949</v>
      </c>
      <c r="W5048" s="45" t="str">
        <f>HYPERLINK("http://ictvonline.org/taxonomy/p/taxonomy-history?taxnode_id=201854099","ICTVonline=201854099")</f>
        <v>ICTVonline=201854099</v>
      </c>
      <c r="AA5048" s="1">
        <v>201850000</v>
      </c>
      <c r="AB5048" s="1">
        <v>34</v>
      </c>
    </row>
    <row r="5049" spans="1:28" x14ac:dyDescent="0.15">
      <c r="A5049" s="1">
        <v>12569</v>
      </c>
      <c r="L5049" s="1" t="s">
        <v>830</v>
      </c>
      <c r="M5049" s="1" t="s">
        <v>5471</v>
      </c>
      <c r="N5049" s="1" t="s">
        <v>553</v>
      </c>
      <c r="P5049" s="1" t="s">
        <v>170</v>
      </c>
      <c r="Q5049" s="3">
        <v>1</v>
      </c>
      <c r="S5049" s="23" t="s">
        <v>5949</v>
      </c>
      <c r="W5049" s="45" t="str">
        <f>HYPERLINK("http://ictvonline.org/taxonomy/p/taxonomy-history?taxnode_id=201854101","ICTVonline=201854101")</f>
        <v>ICTVonline=201854101</v>
      </c>
      <c r="AA5049" s="1">
        <v>201850000</v>
      </c>
      <c r="AB5049" s="1">
        <v>34</v>
      </c>
    </row>
    <row r="5050" spans="1:28" x14ac:dyDescent="0.15">
      <c r="A5050" s="1">
        <v>12573</v>
      </c>
      <c r="L5050" s="1" t="s">
        <v>830</v>
      </c>
      <c r="M5050" s="1" t="s">
        <v>5471</v>
      </c>
      <c r="N5050" s="1" t="s">
        <v>171</v>
      </c>
      <c r="P5050" s="1" t="s">
        <v>172</v>
      </c>
      <c r="Q5050" s="3">
        <v>1</v>
      </c>
      <c r="S5050" s="23" t="s">
        <v>5949</v>
      </c>
      <c r="W5050" s="45" t="str">
        <f>HYPERLINK("http://ictvonline.org/taxonomy/p/taxonomy-history?taxnode_id=201854103","ICTVonline=201854103")</f>
        <v>ICTVonline=201854103</v>
      </c>
      <c r="AA5050" s="1">
        <v>201850000</v>
      </c>
      <c r="AB5050" s="1">
        <v>34</v>
      </c>
    </row>
    <row r="5051" spans="1:28" x14ac:dyDescent="0.15">
      <c r="A5051" s="1">
        <v>12577</v>
      </c>
      <c r="L5051" s="1" t="s">
        <v>830</v>
      </c>
      <c r="M5051" s="1" t="s">
        <v>5471</v>
      </c>
      <c r="N5051" s="1" t="s">
        <v>1145</v>
      </c>
      <c r="P5051" s="1" t="s">
        <v>173</v>
      </c>
      <c r="Q5051" s="3">
        <v>1</v>
      </c>
      <c r="S5051" s="23" t="s">
        <v>5949</v>
      </c>
      <c r="W5051" s="45" t="str">
        <f>HYPERLINK("http://ictvonline.org/taxonomy/p/taxonomy-history?taxnode_id=201854105","ICTVonline=201854105")</f>
        <v>ICTVonline=201854105</v>
      </c>
      <c r="AA5051" s="1">
        <v>201850000</v>
      </c>
      <c r="AB5051" s="1">
        <v>34</v>
      </c>
    </row>
    <row r="5052" spans="1:28" x14ac:dyDescent="0.15">
      <c r="A5052" s="1">
        <v>12579</v>
      </c>
      <c r="L5052" s="1" t="s">
        <v>830</v>
      </c>
      <c r="M5052" s="1" t="s">
        <v>5471</v>
      </c>
      <c r="N5052" s="1" t="s">
        <v>1145</v>
      </c>
      <c r="P5052" s="1" t="s">
        <v>174</v>
      </c>
      <c r="Q5052" s="3">
        <v>0</v>
      </c>
      <c r="S5052" s="23" t="s">
        <v>5949</v>
      </c>
      <c r="W5052" s="45" t="str">
        <f>HYPERLINK("http://ictvonline.org/taxonomy/p/taxonomy-history?taxnode_id=201854106","ICTVonline=201854106")</f>
        <v>ICTVonline=201854106</v>
      </c>
      <c r="AA5052" s="1">
        <v>201850000</v>
      </c>
      <c r="AB5052" s="1">
        <v>34</v>
      </c>
    </row>
    <row r="5053" spans="1:28" x14ac:dyDescent="0.15">
      <c r="A5053" s="1">
        <v>12583</v>
      </c>
      <c r="L5053" s="1" t="s">
        <v>830</v>
      </c>
      <c r="M5053" s="1" t="s">
        <v>5471</v>
      </c>
      <c r="N5053" s="1" t="s">
        <v>175</v>
      </c>
      <c r="P5053" s="1" t="s">
        <v>176</v>
      </c>
      <c r="Q5053" s="3">
        <v>1</v>
      </c>
      <c r="S5053" s="23" t="s">
        <v>5949</v>
      </c>
      <c r="W5053" s="45" t="str">
        <f>HYPERLINK("http://ictvonline.org/taxonomy/p/taxonomy-history?taxnode_id=201854108","ICTVonline=201854108")</f>
        <v>ICTVonline=201854108</v>
      </c>
      <c r="AA5053" s="1">
        <v>201850000</v>
      </c>
      <c r="AB5053" s="1">
        <v>34</v>
      </c>
    </row>
    <row r="5054" spans="1:28" x14ac:dyDescent="0.15">
      <c r="A5054" s="1">
        <v>12585</v>
      </c>
      <c r="L5054" s="1" t="s">
        <v>830</v>
      </c>
      <c r="M5054" s="1" t="s">
        <v>5471</v>
      </c>
      <c r="N5054" s="1" t="s">
        <v>175</v>
      </c>
      <c r="P5054" s="1" t="s">
        <v>5480</v>
      </c>
      <c r="Q5054" s="3">
        <v>0</v>
      </c>
      <c r="S5054" s="23" t="s">
        <v>5949</v>
      </c>
      <c r="W5054" s="45" t="str">
        <f>HYPERLINK("http://ictvonline.org/taxonomy/p/taxonomy-history?taxnode_id=201855872","ICTVonline=201855872")</f>
        <v>ICTVonline=201855872</v>
      </c>
      <c r="AA5054" s="1">
        <v>201850000</v>
      </c>
      <c r="AB5054" s="1">
        <v>34</v>
      </c>
    </row>
    <row r="5055" spans="1:28" x14ac:dyDescent="0.15">
      <c r="A5055" s="1">
        <v>12587</v>
      </c>
      <c r="L5055" s="1" t="s">
        <v>830</v>
      </c>
      <c r="M5055" s="1" t="s">
        <v>5471</v>
      </c>
      <c r="N5055" s="1" t="s">
        <v>175</v>
      </c>
      <c r="P5055" s="1" t="s">
        <v>5481</v>
      </c>
      <c r="Q5055" s="3">
        <v>0</v>
      </c>
      <c r="S5055" s="23" t="s">
        <v>5949</v>
      </c>
      <c r="W5055" s="45" t="str">
        <f>HYPERLINK("http://ictvonline.org/taxonomy/p/taxonomy-history?taxnode_id=201855873","ICTVonline=201855873")</f>
        <v>ICTVonline=201855873</v>
      </c>
      <c r="AA5055" s="1">
        <v>201850000</v>
      </c>
      <c r="AB5055" s="1">
        <v>34</v>
      </c>
    </row>
    <row r="5056" spans="1:28" x14ac:dyDescent="0.15">
      <c r="A5056" s="1">
        <v>12591</v>
      </c>
      <c r="L5056" s="1" t="s">
        <v>830</v>
      </c>
      <c r="M5056" s="1" t="s">
        <v>5471</v>
      </c>
      <c r="N5056" s="1" t="s">
        <v>177</v>
      </c>
      <c r="P5056" s="1" t="s">
        <v>178</v>
      </c>
      <c r="Q5056" s="3">
        <v>1</v>
      </c>
      <c r="S5056" s="23" t="s">
        <v>5949</v>
      </c>
      <c r="W5056" s="45" t="str">
        <f>HYPERLINK("http://ictvonline.org/taxonomy/p/taxonomy-history?taxnode_id=201854110","ICTVonline=201854110")</f>
        <v>ICTVonline=201854110</v>
      </c>
      <c r="AA5056" s="1">
        <v>201850000</v>
      </c>
      <c r="AB5056" s="1">
        <v>34</v>
      </c>
    </row>
    <row r="5057" spans="1:28" x14ac:dyDescent="0.15">
      <c r="A5057" s="1">
        <v>12593</v>
      </c>
      <c r="L5057" s="1" t="s">
        <v>830</v>
      </c>
      <c r="M5057" s="1" t="s">
        <v>5471</v>
      </c>
      <c r="N5057" s="1" t="s">
        <v>177</v>
      </c>
      <c r="P5057" s="1" t="s">
        <v>3900</v>
      </c>
      <c r="Q5057" s="3">
        <v>0</v>
      </c>
      <c r="S5057" s="23" t="s">
        <v>5949</v>
      </c>
      <c r="W5057" s="45" t="str">
        <f>HYPERLINK("http://ictvonline.org/taxonomy/p/taxonomy-history?taxnode_id=201854111","ICTVonline=201854111")</f>
        <v>ICTVonline=201854111</v>
      </c>
      <c r="AA5057" s="1">
        <v>201850000</v>
      </c>
      <c r="AB5057" s="1">
        <v>34</v>
      </c>
    </row>
    <row r="5058" spans="1:28" x14ac:dyDescent="0.15">
      <c r="A5058" s="1">
        <v>12597</v>
      </c>
      <c r="L5058" s="1" t="s">
        <v>830</v>
      </c>
      <c r="M5058" s="1" t="s">
        <v>5471</v>
      </c>
      <c r="N5058" s="1" t="s">
        <v>179</v>
      </c>
      <c r="P5058" s="1" t="s">
        <v>180</v>
      </c>
      <c r="Q5058" s="3">
        <v>1</v>
      </c>
      <c r="S5058" s="23" t="s">
        <v>5949</v>
      </c>
      <c r="W5058" s="45" t="str">
        <f>HYPERLINK("http://ictvonline.org/taxonomy/p/taxonomy-history?taxnode_id=201854113","ICTVonline=201854113")</f>
        <v>ICTVonline=201854113</v>
      </c>
      <c r="AA5058" s="1">
        <v>201850000</v>
      </c>
      <c r="AB5058" s="1">
        <v>34</v>
      </c>
    </row>
    <row r="5059" spans="1:28" x14ac:dyDescent="0.15">
      <c r="A5059" s="1">
        <v>12601</v>
      </c>
      <c r="L5059" s="1" t="s">
        <v>830</v>
      </c>
      <c r="M5059" s="1" t="s">
        <v>5471</v>
      </c>
      <c r="N5059" s="1" t="s">
        <v>181</v>
      </c>
      <c r="P5059" s="1" t="s">
        <v>182</v>
      </c>
      <c r="Q5059" s="3">
        <v>1</v>
      </c>
      <c r="S5059" s="23" t="s">
        <v>5949</v>
      </c>
      <c r="W5059" s="45" t="str">
        <f>HYPERLINK("http://ictvonline.org/taxonomy/p/taxonomy-history?taxnode_id=201854115","ICTVonline=201854115")</f>
        <v>ICTVonline=201854115</v>
      </c>
      <c r="AA5059" s="1">
        <v>201850000</v>
      </c>
      <c r="AB5059" s="1">
        <v>34</v>
      </c>
    </row>
    <row r="5060" spans="1:28" x14ac:dyDescent="0.15">
      <c r="A5060" s="1">
        <v>12603</v>
      </c>
      <c r="L5060" s="1" t="s">
        <v>830</v>
      </c>
      <c r="M5060" s="1" t="s">
        <v>5471</v>
      </c>
      <c r="N5060" s="1" t="s">
        <v>181</v>
      </c>
      <c r="P5060" s="1" t="s">
        <v>2515</v>
      </c>
      <c r="Q5060" s="3">
        <v>0</v>
      </c>
      <c r="S5060" s="23" t="s">
        <v>5949</v>
      </c>
      <c r="W5060" s="45" t="str">
        <f>HYPERLINK("http://ictvonline.org/taxonomy/p/taxonomy-history?taxnode_id=201854116","ICTVonline=201854116")</f>
        <v>ICTVonline=201854116</v>
      </c>
      <c r="AA5060" s="1">
        <v>201850000</v>
      </c>
      <c r="AB5060" s="1">
        <v>34</v>
      </c>
    </row>
    <row r="5061" spans="1:28" x14ac:dyDescent="0.15">
      <c r="A5061" s="1">
        <v>12605</v>
      </c>
      <c r="L5061" s="1" t="s">
        <v>830</v>
      </c>
      <c r="M5061" s="1" t="s">
        <v>5471</v>
      </c>
      <c r="N5061" s="1" t="s">
        <v>181</v>
      </c>
      <c r="P5061" s="1" t="s">
        <v>3901</v>
      </c>
      <c r="Q5061" s="3">
        <v>0</v>
      </c>
      <c r="S5061" s="23" t="s">
        <v>5949</v>
      </c>
      <c r="W5061" s="45" t="str">
        <f>HYPERLINK("http://ictvonline.org/taxonomy/p/taxonomy-history?taxnode_id=201854117","ICTVonline=201854117")</f>
        <v>ICTVonline=201854117</v>
      </c>
      <c r="AA5061" s="1">
        <v>201850000</v>
      </c>
      <c r="AB5061" s="1">
        <v>34</v>
      </c>
    </row>
    <row r="5062" spans="1:28" x14ac:dyDescent="0.15">
      <c r="A5062" s="1">
        <v>12607</v>
      </c>
      <c r="L5062" s="1" t="s">
        <v>830</v>
      </c>
      <c r="M5062" s="1" t="s">
        <v>5471</v>
      </c>
      <c r="N5062" s="1" t="s">
        <v>181</v>
      </c>
      <c r="P5062" s="1" t="s">
        <v>5482</v>
      </c>
      <c r="Q5062" s="3">
        <v>0</v>
      </c>
      <c r="S5062" s="23" t="s">
        <v>5949</v>
      </c>
      <c r="W5062" s="45" t="str">
        <f>HYPERLINK("http://ictvonline.org/taxonomy/p/taxonomy-history?taxnode_id=201855874","ICTVonline=201855874")</f>
        <v>ICTVonline=201855874</v>
      </c>
      <c r="AA5062" s="1">
        <v>201850000</v>
      </c>
      <c r="AB5062" s="1">
        <v>34</v>
      </c>
    </row>
    <row r="5063" spans="1:28" x14ac:dyDescent="0.15">
      <c r="A5063" s="1">
        <v>12611</v>
      </c>
      <c r="L5063" s="1" t="s">
        <v>830</v>
      </c>
      <c r="M5063" s="1" t="s">
        <v>5471</v>
      </c>
      <c r="N5063" s="1" t="s">
        <v>1146</v>
      </c>
      <c r="P5063" s="1" t="s">
        <v>183</v>
      </c>
      <c r="Q5063" s="3">
        <v>1</v>
      </c>
      <c r="S5063" s="23" t="s">
        <v>5949</v>
      </c>
      <c r="W5063" s="45" t="str">
        <f>HYPERLINK("http://ictvonline.org/taxonomy/p/taxonomy-history?taxnode_id=201854119","ICTVonline=201854119")</f>
        <v>ICTVonline=201854119</v>
      </c>
      <c r="AA5063" s="1">
        <v>201850000</v>
      </c>
      <c r="AB5063" s="1">
        <v>34</v>
      </c>
    </row>
    <row r="5064" spans="1:28" x14ac:dyDescent="0.15">
      <c r="A5064" s="1">
        <v>12615</v>
      </c>
      <c r="L5064" s="1" t="s">
        <v>830</v>
      </c>
      <c r="M5064" s="1" t="s">
        <v>5471</v>
      </c>
      <c r="N5064" s="1" t="s">
        <v>3902</v>
      </c>
      <c r="P5064" s="1" t="s">
        <v>3903</v>
      </c>
      <c r="Q5064" s="3">
        <v>1</v>
      </c>
      <c r="S5064" s="23" t="s">
        <v>5949</v>
      </c>
      <c r="W5064" s="45" t="str">
        <f>HYPERLINK("http://ictvonline.org/taxonomy/p/taxonomy-history?taxnode_id=201854121","ICTVonline=201854121")</f>
        <v>ICTVonline=201854121</v>
      </c>
      <c r="AA5064" s="1">
        <v>201850000</v>
      </c>
      <c r="AB5064" s="1">
        <v>34</v>
      </c>
    </row>
    <row r="5065" spans="1:28" x14ac:dyDescent="0.15">
      <c r="A5065" s="1">
        <v>12619</v>
      </c>
      <c r="L5065" s="1" t="s">
        <v>830</v>
      </c>
      <c r="M5065" s="1" t="s">
        <v>5471</v>
      </c>
      <c r="N5065" s="1" t="s">
        <v>3904</v>
      </c>
      <c r="P5065" s="1" t="s">
        <v>3905</v>
      </c>
      <c r="Q5065" s="3">
        <v>1</v>
      </c>
      <c r="S5065" s="23" t="s">
        <v>5949</v>
      </c>
      <c r="W5065" s="45" t="str">
        <f>HYPERLINK("http://ictvonline.org/taxonomy/p/taxonomy-history?taxnode_id=201854123","ICTVonline=201854123")</f>
        <v>ICTVonline=201854123</v>
      </c>
      <c r="AA5065" s="1">
        <v>201850000</v>
      </c>
      <c r="AB5065" s="1">
        <v>34</v>
      </c>
    </row>
    <row r="5066" spans="1:28" x14ac:dyDescent="0.15">
      <c r="A5066" s="1">
        <v>12623</v>
      </c>
      <c r="L5066" s="1" t="s">
        <v>830</v>
      </c>
      <c r="M5066" s="1" t="s">
        <v>5471</v>
      </c>
      <c r="N5066" s="1" t="s">
        <v>3906</v>
      </c>
      <c r="P5066" s="1" t="s">
        <v>3907</v>
      </c>
      <c r="Q5066" s="3">
        <v>1</v>
      </c>
      <c r="S5066" s="23" t="s">
        <v>5949</v>
      </c>
      <c r="W5066" s="45" t="str">
        <f>HYPERLINK("http://ictvonline.org/taxonomy/p/taxonomy-history?taxnode_id=201854125","ICTVonline=201854125")</f>
        <v>ICTVonline=201854125</v>
      </c>
      <c r="AA5066" s="1">
        <v>201850000</v>
      </c>
      <c r="AB5066" s="1">
        <v>34</v>
      </c>
    </row>
    <row r="5067" spans="1:28" x14ac:dyDescent="0.15">
      <c r="A5067" s="1">
        <v>12627</v>
      </c>
      <c r="L5067" s="1" t="s">
        <v>830</v>
      </c>
      <c r="M5067" s="1" t="s">
        <v>5471</v>
      </c>
      <c r="N5067" s="1" t="s">
        <v>5483</v>
      </c>
      <c r="P5067" s="1" t="s">
        <v>5484</v>
      </c>
      <c r="Q5067" s="3">
        <v>1</v>
      </c>
      <c r="S5067" s="23" t="s">
        <v>5949</v>
      </c>
      <c r="W5067" s="45" t="str">
        <f>HYPERLINK("http://ictvonline.org/taxonomy/p/taxonomy-history?taxnode_id=201855875","ICTVonline=201855875")</f>
        <v>ICTVonline=201855875</v>
      </c>
      <c r="AA5067" s="1">
        <v>201850000</v>
      </c>
      <c r="AB5067" s="1">
        <v>34</v>
      </c>
    </row>
    <row r="5068" spans="1:28" x14ac:dyDescent="0.15">
      <c r="A5068" s="1">
        <v>12631</v>
      </c>
      <c r="L5068" s="1" t="s">
        <v>830</v>
      </c>
      <c r="M5068" s="1" t="s">
        <v>5471</v>
      </c>
      <c r="N5068" s="1" t="s">
        <v>5485</v>
      </c>
      <c r="P5068" s="1" t="s">
        <v>5486</v>
      </c>
      <c r="Q5068" s="3">
        <v>1</v>
      </c>
      <c r="S5068" s="23" t="s">
        <v>5949</v>
      </c>
      <c r="W5068" s="45" t="str">
        <f>HYPERLINK("http://ictvonline.org/taxonomy/p/taxonomy-history?taxnode_id=201855877","ICTVonline=201855877")</f>
        <v>ICTVonline=201855877</v>
      </c>
      <c r="AA5068" s="1">
        <v>201850000</v>
      </c>
      <c r="AB5068" s="1">
        <v>34</v>
      </c>
    </row>
    <row r="5069" spans="1:28" x14ac:dyDescent="0.15">
      <c r="A5069" s="1">
        <v>12635</v>
      </c>
      <c r="L5069" s="1" t="s">
        <v>830</v>
      </c>
      <c r="M5069" s="1" t="s">
        <v>5471</v>
      </c>
      <c r="N5069" s="1" t="s">
        <v>5487</v>
      </c>
      <c r="P5069" s="1" t="s">
        <v>5488</v>
      </c>
      <c r="Q5069" s="3">
        <v>1</v>
      </c>
      <c r="S5069" s="23" t="s">
        <v>5949</v>
      </c>
      <c r="W5069" s="45" t="str">
        <f>HYPERLINK("http://ictvonline.org/taxonomy/p/taxonomy-history?taxnode_id=201855879","ICTVonline=201855879")</f>
        <v>ICTVonline=201855879</v>
      </c>
      <c r="AA5069" s="1">
        <v>201850000</v>
      </c>
      <c r="AB5069" s="1">
        <v>34</v>
      </c>
    </row>
    <row r="5070" spans="1:28" x14ac:dyDescent="0.15">
      <c r="A5070" s="1">
        <v>12639</v>
      </c>
      <c r="L5070" s="1" t="s">
        <v>830</v>
      </c>
      <c r="M5070" s="1" t="s">
        <v>5471</v>
      </c>
      <c r="N5070" s="1" t="s">
        <v>3908</v>
      </c>
      <c r="P5070" s="1" t="s">
        <v>3909</v>
      </c>
      <c r="Q5070" s="3">
        <v>1</v>
      </c>
      <c r="S5070" s="23" t="s">
        <v>5949</v>
      </c>
      <c r="W5070" s="45" t="str">
        <f>HYPERLINK("http://ictvonline.org/taxonomy/p/taxonomy-history?taxnode_id=201854127","ICTVonline=201854127")</f>
        <v>ICTVonline=201854127</v>
      </c>
      <c r="AA5070" s="1">
        <v>201850000</v>
      </c>
      <c r="AB5070" s="1">
        <v>34</v>
      </c>
    </row>
    <row r="5071" spans="1:28" x14ac:dyDescent="0.15">
      <c r="A5071" s="1">
        <v>12643</v>
      </c>
      <c r="L5071" s="1" t="s">
        <v>830</v>
      </c>
      <c r="M5071" s="1" t="s">
        <v>5471</v>
      </c>
      <c r="N5071" s="1" t="s">
        <v>184</v>
      </c>
      <c r="P5071" s="1" t="s">
        <v>185</v>
      </c>
      <c r="Q5071" s="3">
        <v>1</v>
      </c>
      <c r="S5071" s="23" t="s">
        <v>5949</v>
      </c>
      <c r="W5071" s="45" t="str">
        <f>HYPERLINK("http://ictvonline.org/taxonomy/p/taxonomy-history?taxnode_id=201854129","ICTVonline=201854129")</f>
        <v>ICTVonline=201854129</v>
      </c>
      <c r="AA5071" s="1">
        <v>201850000</v>
      </c>
      <c r="AB5071" s="1">
        <v>34</v>
      </c>
    </row>
    <row r="5072" spans="1:28" x14ac:dyDescent="0.15">
      <c r="A5072" s="1">
        <v>12645</v>
      </c>
      <c r="L5072" s="1" t="s">
        <v>830</v>
      </c>
      <c r="M5072" s="1" t="s">
        <v>5471</v>
      </c>
      <c r="N5072" s="1" t="s">
        <v>184</v>
      </c>
      <c r="P5072" s="1" t="s">
        <v>186</v>
      </c>
      <c r="Q5072" s="3">
        <v>0</v>
      </c>
      <c r="S5072" s="23" t="s">
        <v>5949</v>
      </c>
      <c r="W5072" s="45" t="str">
        <f>HYPERLINK("http://ictvonline.org/taxonomy/p/taxonomy-history?taxnode_id=201854130","ICTVonline=201854130")</f>
        <v>ICTVonline=201854130</v>
      </c>
      <c r="AA5072" s="1">
        <v>201850000</v>
      </c>
      <c r="AB5072" s="1">
        <v>34</v>
      </c>
    </row>
    <row r="5073" spans="1:28" x14ac:dyDescent="0.15">
      <c r="A5073" s="1">
        <v>12647</v>
      </c>
      <c r="L5073" s="1" t="s">
        <v>830</v>
      </c>
      <c r="M5073" s="1" t="s">
        <v>5471</v>
      </c>
      <c r="N5073" s="1" t="s">
        <v>184</v>
      </c>
      <c r="P5073" s="1" t="s">
        <v>2516</v>
      </c>
      <c r="Q5073" s="3">
        <v>0</v>
      </c>
      <c r="S5073" s="23" t="s">
        <v>5949</v>
      </c>
      <c r="W5073" s="45" t="str">
        <f>HYPERLINK("http://ictvonline.org/taxonomy/p/taxonomy-history?taxnode_id=201854131","ICTVonline=201854131")</f>
        <v>ICTVonline=201854131</v>
      </c>
      <c r="AA5073" s="1">
        <v>201850000</v>
      </c>
      <c r="AB5073" s="1">
        <v>34</v>
      </c>
    </row>
    <row r="5074" spans="1:28" x14ac:dyDescent="0.15">
      <c r="A5074" s="1">
        <v>12651</v>
      </c>
      <c r="L5074" s="1" t="s">
        <v>830</v>
      </c>
      <c r="M5074" s="1" t="s">
        <v>5471</v>
      </c>
      <c r="N5074" s="1" t="s">
        <v>1666</v>
      </c>
      <c r="P5074" s="1" t="s">
        <v>187</v>
      </c>
      <c r="Q5074" s="3">
        <v>1</v>
      </c>
      <c r="S5074" s="23" t="s">
        <v>5949</v>
      </c>
      <c r="W5074" s="45" t="str">
        <f>HYPERLINK("http://ictvonline.org/taxonomy/p/taxonomy-history?taxnode_id=201854133","ICTVonline=201854133")</f>
        <v>ICTVonline=201854133</v>
      </c>
      <c r="AA5074" s="1">
        <v>201850000</v>
      </c>
      <c r="AB5074" s="1">
        <v>34</v>
      </c>
    </row>
    <row r="5075" spans="1:28" x14ac:dyDescent="0.15">
      <c r="A5075" s="1">
        <v>12653</v>
      </c>
      <c r="L5075" s="1" t="s">
        <v>830</v>
      </c>
      <c r="M5075" s="1" t="s">
        <v>5471</v>
      </c>
      <c r="N5075" s="1" t="s">
        <v>1666</v>
      </c>
      <c r="P5075" s="1" t="s">
        <v>2517</v>
      </c>
      <c r="Q5075" s="3">
        <v>0</v>
      </c>
      <c r="S5075" s="23" t="s">
        <v>5949</v>
      </c>
      <c r="W5075" s="45" t="str">
        <f>HYPERLINK("http://ictvonline.org/taxonomy/p/taxonomy-history?taxnode_id=201854134","ICTVonline=201854134")</f>
        <v>ICTVonline=201854134</v>
      </c>
      <c r="AA5075" s="1">
        <v>201850000</v>
      </c>
      <c r="AB5075" s="1">
        <v>34</v>
      </c>
    </row>
    <row r="5076" spans="1:28" x14ac:dyDescent="0.15">
      <c r="A5076" s="1">
        <v>12655</v>
      </c>
      <c r="L5076" s="1" t="s">
        <v>830</v>
      </c>
      <c r="M5076" s="1" t="s">
        <v>5471</v>
      </c>
      <c r="N5076" s="1" t="s">
        <v>1666</v>
      </c>
      <c r="P5076" s="1" t="s">
        <v>3910</v>
      </c>
      <c r="Q5076" s="3">
        <v>0</v>
      </c>
      <c r="S5076" s="23" t="s">
        <v>5949</v>
      </c>
      <c r="W5076" s="45" t="str">
        <f>HYPERLINK("http://ictvonline.org/taxonomy/p/taxonomy-history?taxnode_id=201854135","ICTVonline=201854135")</f>
        <v>ICTVonline=201854135</v>
      </c>
      <c r="AA5076" s="1">
        <v>201850000</v>
      </c>
      <c r="AB5076" s="1">
        <v>34</v>
      </c>
    </row>
    <row r="5077" spans="1:28" x14ac:dyDescent="0.15">
      <c r="A5077" s="1">
        <v>12657</v>
      </c>
      <c r="L5077" s="1" t="s">
        <v>830</v>
      </c>
      <c r="M5077" s="1" t="s">
        <v>5471</v>
      </c>
      <c r="N5077" s="1" t="s">
        <v>1666</v>
      </c>
      <c r="P5077" s="1" t="s">
        <v>5489</v>
      </c>
      <c r="Q5077" s="3">
        <v>0</v>
      </c>
      <c r="S5077" s="23" t="s">
        <v>5949</v>
      </c>
      <c r="W5077" s="45" t="str">
        <f>HYPERLINK("http://ictvonline.org/taxonomy/p/taxonomy-history?taxnode_id=201855881","ICTVonline=201855881")</f>
        <v>ICTVonline=201855881</v>
      </c>
      <c r="AA5077" s="1">
        <v>201850000</v>
      </c>
      <c r="AB5077" s="1">
        <v>34</v>
      </c>
    </row>
    <row r="5078" spans="1:28" x14ac:dyDescent="0.15">
      <c r="A5078" s="1">
        <v>12659</v>
      </c>
      <c r="L5078" s="1" t="s">
        <v>830</v>
      </c>
      <c r="M5078" s="1" t="s">
        <v>5471</v>
      </c>
      <c r="N5078" s="1" t="s">
        <v>1666</v>
      </c>
      <c r="P5078" s="1" t="s">
        <v>5490</v>
      </c>
      <c r="Q5078" s="3">
        <v>0</v>
      </c>
      <c r="S5078" s="23" t="s">
        <v>5949</v>
      </c>
      <c r="W5078" s="45" t="str">
        <f>HYPERLINK("http://ictvonline.org/taxonomy/p/taxonomy-history?taxnode_id=201855882","ICTVonline=201855882")</f>
        <v>ICTVonline=201855882</v>
      </c>
      <c r="AA5078" s="1">
        <v>201850000</v>
      </c>
      <c r="AB5078" s="1">
        <v>34</v>
      </c>
    </row>
    <row r="5079" spans="1:28" x14ac:dyDescent="0.15">
      <c r="A5079" s="1">
        <v>12663</v>
      </c>
      <c r="L5079" s="1" t="s">
        <v>830</v>
      </c>
      <c r="M5079" s="1" t="s">
        <v>5471</v>
      </c>
      <c r="N5079" s="1" t="s">
        <v>1667</v>
      </c>
      <c r="P5079" s="1" t="s">
        <v>188</v>
      </c>
      <c r="Q5079" s="3">
        <v>1</v>
      </c>
      <c r="S5079" s="23" t="s">
        <v>5949</v>
      </c>
      <c r="W5079" s="45" t="str">
        <f>HYPERLINK("http://ictvonline.org/taxonomy/p/taxonomy-history?taxnode_id=201854137","ICTVonline=201854137")</f>
        <v>ICTVonline=201854137</v>
      </c>
      <c r="AA5079" s="1">
        <v>201850000</v>
      </c>
      <c r="AB5079" s="1">
        <v>34</v>
      </c>
    </row>
    <row r="5080" spans="1:28" x14ac:dyDescent="0.15">
      <c r="A5080" s="1">
        <v>12669</v>
      </c>
      <c r="L5080" s="1" t="s">
        <v>830</v>
      </c>
      <c r="M5080" s="1" t="s">
        <v>5491</v>
      </c>
      <c r="N5080" s="1" t="s">
        <v>5492</v>
      </c>
      <c r="P5080" s="1" t="s">
        <v>5493</v>
      </c>
      <c r="Q5080" s="3">
        <v>1</v>
      </c>
      <c r="S5080" s="23" t="s">
        <v>5949</v>
      </c>
      <c r="W5080" s="45" t="str">
        <f>HYPERLINK("http://ictvonline.org/taxonomy/p/taxonomy-history?taxnode_id=201855884","ICTVonline=201855884")</f>
        <v>ICTVonline=201855884</v>
      </c>
      <c r="AA5080" s="1">
        <v>201850000</v>
      </c>
      <c r="AB5080" s="1">
        <v>34</v>
      </c>
    </row>
    <row r="5081" spans="1:28" x14ac:dyDescent="0.15">
      <c r="A5081" s="1">
        <v>12677</v>
      </c>
      <c r="L5081" s="1" t="s">
        <v>1918</v>
      </c>
      <c r="M5081" s="1" t="s">
        <v>1919</v>
      </c>
      <c r="N5081" s="1" t="s">
        <v>2534</v>
      </c>
      <c r="P5081" s="1" t="s">
        <v>4816</v>
      </c>
      <c r="Q5081" s="3">
        <v>0</v>
      </c>
      <c r="S5081" s="23" t="s">
        <v>5949</v>
      </c>
      <c r="W5081" s="45" t="str">
        <f>HYPERLINK("http://ictvonline.org/taxonomy/p/taxonomy-history?taxnode_id=201854209","ICTVonline=201854209")</f>
        <v>ICTVonline=201854209</v>
      </c>
      <c r="AA5081" s="1">
        <v>201850000</v>
      </c>
      <c r="AB5081" s="1">
        <v>34</v>
      </c>
    </row>
    <row r="5082" spans="1:28" x14ac:dyDescent="0.15">
      <c r="A5082" s="1">
        <v>12679</v>
      </c>
      <c r="L5082" s="1" t="s">
        <v>1918</v>
      </c>
      <c r="M5082" s="1" t="s">
        <v>1919</v>
      </c>
      <c r="N5082" s="1" t="s">
        <v>2534</v>
      </c>
      <c r="P5082" s="1" t="s">
        <v>2535</v>
      </c>
      <c r="Q5082" s="3">
        <v>0</v>
      </c>
      <c r="S5082" s="23" t="s">
        <v>5949</v>
      </c>
      <c r="W5082" s="45" t="str">
        <f>HYPERLINK("http://ictvonline.org/taxonomy/p/taxonomy-history?taxnode_id=201854210","ICTVonline=201854210")</f>
        <v>ICTVonline=201854210</v>
      </c>
      <c r="AA5082" s="1">
        <v>201850000</v>
      </c>
      <c r="AB5082" s="1">
        <v>34</v>
      </c>
    </row>
    <row r="5083" spans="1:28" x14ac:dyDescent="0.15">
      <c r="A5083" s="1">
        <v>12681</v>
      </c>
      <c r="L5083" s="1" t="s">
        <v>1918</v>
      </c>
      <c r="M5083" s="1" t="s">
        <v>1919</v>
      </c>
      <c r="N5083" s="1" t="s">
        <v>2534</v>
      </c>
      <c r="P5083" s="1" t="s">
        <v>2536</v>
      </c>
      <c r="Q5083" s="3">
        <v>0</v>
      </c>
      <c r="S5083" s="23" t="s">
        <v>5949</v>
      </c>
      <c r="W5083" s="45" t="str">
        <f>HYPERLINK("http://ictvonline.org/taxonomy/p/taxonomy-history?taxnode_id=201854211","ICTVonline=201854211")</f>
        <v>ICTVonline=201854211</v>
      </c>
      <c r="AA5083" s="1">
        <v>201850000</v>
      </c>
      <c r="AB5083" s="1">
        <v>34</v>
      </c>
    </row>
    <row r="5084" spans="1:28" x14ac:dyDescent="0.15">
      <c r="A5084" s="1">
        <v>12683</v>
      </c>
      <c r="L5084" s="1" t="s">
        <v>1918</v>
      </c>
      <c r="M5084" s="1" t="s">
        <v>1919</v>
      </c>
      <c r="N5084" s="1" t="s">
        <v>2534</v>
      </c>
      <c r="P5084" s="1" t="s">
        <v>4817</v>
      </c>
      <c r="Q5084" s="3">
        <v>0</v>
      </c>
      <c r="S5084" s="23" t="s">
        <v>5949</v>
      </c>
      <c r="W5084" s="45" t="str">
        <f>HYPERLINK("http://ictvonline.org/taxonomy/p/taxonomy-history?taxnode_id=201854212","ICTVonline=201854212")</f>
        <v>ICTVonline=201854212</v>
      </c>
      <c r="AA5084" s="1">
        <v>201850000</v>
      </c>
      <c r="AB5084" s="1">
        <v>34</v>
      </c>
    </row>
    <row r="5085" spans="1:28" x14ac:dyDescent="0.15">
      <c r="A5085" s="1">
        <v>12685</v>
      </c>
      <c r="L5085" s="1" t="s">
        <v>1918</v>
      </c>
      <c r="M5085" s="1" t="s">
        <v>1919</v>
      </c>
      <c r="N5085" s="1" t="s">
        <v>2534</v>
      </c>
      <c r="P5085" s="1" t="s">
        <v>2537</v>
      </c>
      <c r="Q5085" s="3">
        <v>0</v>
      </c>
      <c r="S5085" s="23" t="s">
        <v>5949</v>
      </c>
      <c r="W5085" s="45" t="str">
        <f>HYPERLINK("http://ictvonline.org/taxonomy/p/taxonomy-history?taxnode_id=201854213","ICTVonline=201854213")</f>
        <v>ICTVonline=201854213</v>
      </c>
      <c r="AA5085" s="1">
        <v>201850000</v>
      </c>
      <c r="AB5085" s="1">
        <v>34</v>
      </c>
    </row>
    <row r="5086" spans="1:28" x14ac:dyDescent="0.15">
      <c r="A5086" s="1">
        <v>12687</v>
      </c>
      <c r="L5086" s="1" t="s">
        <v>1918</v>
      </c>
      <c r="M5086" s="1" t="s">
        <v>1919</v>
      </c>
      <c r="N5086" s="1" t="s">
        <v>2534</v>
      </c>
      <c r="P5086" s="1" t="s">
        <v>2538</v>
      </c>
      <c r="Q5086" s="3">
        <v>0</v>
      </c>
      <c r="S5086" s="23" t="s">
        <v>5949</v>
      </c>
      <c r="W5086" s="45" t="str">
        <f>HYPERLINK("http://ictvonline.org/taxonomy/p/taxonomy-history?taxnode_id=201854214","ICTVonline=201854214")</f>
        <v>ICTVonline=201854214</v>
      </c>
      <c r="AA5086" s="1">
        <v>201850000</v>
      </c>
      <c r="AB5086" s="1">
        <v>34</v>
      </c>
    </row>
    <row r="5087" spans="1:28" x14ac:dyDescent="0.15">
      <c r="A5087" s="1">
        <v>12689</v>
      </c>
      <c r="L5087" s="1" t="s">
        <v>1918</v>
      </c>
      <c r="M5087" s="1" t="s">
        <v>1919</v>
      </c>
      <c r="N5087" s="1" t="s">
        <v>2534</v>
      </c>
      <c r="P5087" s="1" t="s">
        <v>4818</v>
      </c>
      <c r="Q5087" s="3">
        <v>0</v>
      </c>
      <c r="S5087" s="23" t="s">
        <v>5949</v>
      </c>
      <c r="W5087" s="45" t="str">
        <f>HYPERLINK("http://ictvonline.org/taxonomy/p/taxonomy-history?taxnode_id=201854215","ICTVonline=201854215")</f>
        <v>ICTVonline=201854215</v>
      </c>
      <c r="AA5087" s="1">
        <v>201850000</v>
      </c>
      <c r="AB5087" s="1">
        <v>34</v>
      </c>
    </row>
    <row r="5088" spans="1:28" x14ac:dyDescent="0.15">
      <c r="A5088" s="1">
        <v>12691</v>
      </c>
      <c r="L5088" s="1" t="s">
        <v>1918</v>
      </c>
      <c r="M5088" s="1" t="s">
        <v>1919</v>
      </c>
      <c r="N5088" s="1" t="s">
        <v>2534</v>
      </c>
      <c r="P5088" s="1" t="s">
        <v>4819</v>
      </c>
      <c r="Q5088" s="3">
        <v>0</v>
      </c>
      <c r="S5088" s="23" t="s">
        <v>5949</v>
      </c>
      <c r="W5088" s="45" t="str">
        <f>HYPERLINK("http://ictvonline.org/taxonomy/p/taxonomy-history?taxnode_id=201854216","ICTVonline=201854216")</f>
        <v>ICTVonline=201854216</v>
      </c>
      <c r="AA5088" s="1">
        <v>201850000</v>
      </c>
      <c r="AB5088" s="1">
        <v>34</v>
      </c>
    </row>
    <row r="5089" spans="1:28" x14ac:dyDescent="0.15">
      <c r="A5089" s="1">
        <v>12693</v>
      </c>
      <c r="L5089" s="1" t="s">
        <v>1918</v>
      </c>
      <c r="M5089" s="1" t="s">
        <v>1919</v>
      </c>
      <c r="N5089" s="1" t="s">
        <v>2534</v>
      </c>
      <c r="P5089" s="1" t="s">
        <v>4820</v>
      </c>
      <c r="Q5089" s="3">
        <v>0</v>
      </c>
      <c r="S5089" s="23" t="s">
        <v>5949</v>
      </c>
      <c r="W5089" s="45" t="str">
        <f>HYPERLINK("http://ictvonline.org/taxonomy/p/taxonomy-history?taxnode_id=201854217","ICTVonline=201854217")</f>
        <v>ICTVonline=201854217</v>
      </c>
      <c r="AA5089" s="1">
        <v>201850000</v>
      </c>
      <c r="AB5089" s="1">
        <v>34</v>
      </c>
    </row>
    <row r="5090" spans="1:28" x14ac:dyDescent="0.15">
      <c r="A5090" s="1">
        <v>12695</v>
      </c>
      <c r="L5090" s="1" t="s">
        <v>1918</v>
      </c>
      <c r="M5090" s="1" t="s">
        <v>1919</v>
      </c>
      <c r="N5090" s="1" t="s">
        <v>2534</v>
      </c>
      <c r="P5090" s="1" t="s">
        <v>2539</v>
      </c>
      <c r="Q5090" s="3">
        <v>1</v>
      </c>
      <c r="S5090" s="23" t="s">
        <v>5949</v>
      </c>
      <c r="W5090" s="45" t="str">
        <f>HYPERLINK("http://ictvonline.org/taxonomy/p/taxonomy-history?taxnode_id=201854218","ICTVonline=201854218")</f>
        <v>ICTVonline=201854218</v>
      </c>
      <c r="AA5090" s="1">
        <v>201850000</v>
      </c>
      <c r="AB5090" s="1">
        <v>34</v>
      </c>
    </row>
    <row r="5091" spans="1:28" x14ac:dyDescent="0.15">
      <c r="A5091" s="1">
        <v>12697</v>
      </c>
      <c r="L5091" s="1" t="s">
        <v>1918</v>
      </c>
      <c r="M5091" s="1" t="s">
        <v>1919</v>
      </c>
      <c r="N5091" s="1" t="s">
        <v>2534</v>
      </c>
      <c r="P5091" s="1" t="s">
        <v>2540</v>
      </c>
      <c r="Q5091" s="3">
        <v>0</v>
      </c>
      <c r="S5091" s="23" t="s">
        <v>5949</v>
      </c>
      <c r="W5091" s="45" t="str">
        <f>HYPERLINK("http://ictvonline.org/taxonomy/p/taxonomy-history?taxnode_id=201854219","ICTVonline=201854219")</f>
        <v>ICTVonline=201854219</v>
      </c>
      <c r="AA5091" s="1">
        <v>201850000</v>
      </c>
      <c r="AB5091" s="1">
        <v>34</v>
      </c>
    </row>
    <row r="5092" spans="1:28" x14ac:dyDescent="0.15">
      <c r="A5092" s="1">
        <v>12701</v>
      </c>
      <c r="L5092" s="1" t="s">
        <v>1918</v>
      </c>
      <c r="M5092" s="1" t="s">
        <v>1919</v>
      </c>
      <c r="N5092" s="1" t="s">
        <v>1920</v>
      </c>
      <c r="P5092" s="1" t="s">
        <v>2541</v>
      </c>
      <c r="Q5092" s="3">
        <v>1</v>
      </c>
      <c r="S5092" s="23" t="s">
        <v>5949</v>
      </c>
      <c r="W5092" s="45" t="str">
        <f>HYPERLINK("http://ictvonline.org/taxonomy/p/taxonomy-history?taxnode_id=201854221","ICTVonline=201854221")</f>
        <v>ICTVonline=201854221</v>
      </c>
      <c r="AA5092" s="1">
        <v>201850000</v>
      </c>
      <c r="AB5092" s="1">
        <v>34</v>
      </c>
    </row>
    <row r="5093" spans="1:28" x14ac:dyDescent="0.15">
      <c r="A5093" s="1">
        <v>12703</v>
      </c>
      <c r="L5093" s="1" t="s">
        <v>1918</v>
      </c>
      <c r="M5093" s="1" t="s">
        <v>1919</v>
      </c>
      <c r="N5093" s="1" t="s">
        <v>1920</v>
      </c>
      <c r="P5093" s="1" t="s">
        <v>2542</v>
      </c>
      <c r="Q5093" s="3">
        <v>0</v>
      </c>
      <c r="S5093" s="23" t="s">
        <v>5949</v>
      </c>
      <c r="W5093" s="45" t="str">
        <f>HYPERLINK("http://ictvonline.org/taxonomy/p/taxonomy-history?taxnode_id=201854222","ICTVonline=201854222")</f>
        <v>ICTVonline=201854222</v>
      </c>
      <c r="AA5093" s="1">
        <v>201850000</v>
      </c>
      <c r="AB5093" s="1">
        <v>34</v>
      </c>
    </row>
    <row r="5094" spans="1:28" x14ac:dyDescent="0.15">
      <c r="A5094" s="1">
        <v>12707</v>
      </c>
      <c r="L5094" s="1" t="s">
        <v>1918</v>
      </c>
      <c r="M5094" s="1" t="s">
        <v>1919</v>
      </c>
      <c r="N5094" s="1" t="s">
        <v>2543</v>
      </c>
      <c r="P5094" s="1" t="s">
        <v>2544</v>
      </c>
      <c r="Q5094" s="3">
        <v>1</v>
      </c>
      <c r="S5094" s="23" t="s">
        <v>5949</v>
      </c>
      <c r="W5094" s="45" t="str">
        <f>HYPERLINK("http://ictvonline.org/taxonomy/p/taxonomy-history?taxnode_id=201854224","ICTVonline=201854224")</f>
        <v>ICTVonline=201854224</v>
      </c>
      <c r="AA5094" s="1">
        <v>201850000</v>
      </c>
      <c r="AB5094" s="1">
        <v>34</v>
      </c>
    </row>
    <row r="5095" spans="1:28" x14ac:dyDescent="0.15">
      <c r="A5095" s="1">
        <v>12711</v>
      </c>
      <c r="L5095" s="1" t="s">
        <v>1918</v>
      </c>
      <c r="M5095" s="1" t="s">
        <v>1919</v>
      </c>
      <c r="N5095" s="1" t="s">
        <v>2545</v>
      </c>
      <c r="P5095" s="1" t="s">
        <v>2546</v>
      </c>
      <c r="Q5095" s="3">
        <v>1</v>
      </c>
      <c r="S5095" s="23" t="s">
        <v>5949</v>
      </c>
      <c r="W5095" s="45" t="str">
        <f>HYPERLINK("http://ictvonline.org/taxonomy/p/taxonomy-history?taxnode_id=201854226","ICTVonline=201854226")</f>
        <v>ICTVonline=201854226</v>
      </c>
      <c r="AA5095" s="1">
        <v>201850000</v>
      </c>
      <c r="AB5095" s="1">
        <v>34</v>
      </c>
    </row>
    <row r="5096" spans="1:28" x14ac:dyDescent="0.15">
      <c r="A5096" s="1">
        <v>12713</v>
      </c>
      <c r="L5096" s="1" t="s">
        <v>1918</v>
      </c>
      <c r="M5096" s="1" t="s">
        <v>1919</v>
      </c>
      <c r="N5096" s="1" t="s">
        <v>2545</v>
      </c>
      <c r="P5096" s="1" t="s">
        <v>2547</v>
      </c>
      <c r="Q5096" s="3">
        <v>0</v>
      </c>
      <c r="S5096" s="23" t="s">
        <v>5949</v>
      </c>
      <c r="W5096" s="45" t="str">
        <f>HYPERLINK("http://ictvonline.org/taxonomy/p/taxonomy-history?taxnode_id=201854227","ICTVonline=201854227")</f>
        <v>ICTVonline=201854227</v>
      </c>
      <c r="AA5096" s="1">
        <v>201850000</v>
      </c>
      <c r="AB5096" s="1">
        <v>34</v>
      </c>
    </row>
    <row r="5097" spans="1:28" x14ac:dyDescent="0.15">
      <c r="A5097" s="1">
        <v>12715</v>
      </c>
      <c r="L5097" s="1" t="s">
        <v>1918</v>
      </c>
      <c r="M5097" s="1" t="s">
        <v>1919</v>
      </c>
      <c r="N5097" s="1" t="s">
        <v>2545</v>
      </c>
      <c r="P5097" s="1" t="s">
        <v>2548</v>
      </c>
      <c r="Q5097" s="3">
        <v>0</v>
      </c>
      <c r="S5097" s="23" t="s">
        <v>5949</v>
      </c>
      <c r="W5097" s="45" t="str">
        <f>HYPERLINK("http://ictvonline.org/taxonomy/p/taxonomy-history?taxnode_id=201854228","ICTVonline=201854228")</f>
        <v>ICTVonline=201854228</v>
      </c>
      <c r="AA5097" s="1">
        <v>201850000</v>
      </c>
      <c r="AB5097" s="1">
        <v>34</v>
      </c>
    </row>
    <row r="5098" spans="1:28" x14ac:dyDescent="0.15">
      <c r="A5098" s="1">
        <v>12717</v>
      </c>
      <c r="L5098" s="1" t="s">
        <v>1918</v>
      </c>
      <c r="M5098" s="1" t="s">
        <v>1919</v>
      </c>
      <c r="N5098" s="1" t="s">
        <v>2545</v>
      </c>
      <c r="P5098" s="1" t="s">
        <v>2549</v>
      </c>
      <c r="Q5098" s="3">
        <v>0</v>
      </c>
      <c r="S5098" s="23" t="s">
        <v>5949</v>
      </c>
      <c r="W5098" s="45" t="str">
        <f>HYPERLINK("http://ictvonline.org/taxonomy/p/taxonomy-history?taxnode_id=201854229","ICTVonline=201854229")</f>
        <v>ICTVonline=201854229</v>
      </c>
      <c r="AA5098" s="1">
        <v>201850000</v>
      </c>
      <c r="AB5098" s="1">
        <v>34</v>
      </c>
    </row>
    <row r="5099" spans="1:28" x14ac:dyDescent="0.15">
      <c r="A5099" s="1">
        <v>12719</v>
      </c>
      <c r="L5099" s="1" t="s">
        <v>1918</v>
      </c>
      <c r="M5099" s="1" t="s">
        <v>1919</v>
      </c>
      <c r="N5099" s="1" t="s">
        <v>2545</v>
      </c>
      <c r="P5099" s="1" t="s">
        <v>2550</v>
      </c>
      <c r="Q5099" s="3">
        <v>0</v>
      </c>
      <c r="S5099" s="23" t="s">
        <v>5949</v>
      </c>
      <c r="W5099" s="45" t="str">
        <f>HYPERLINK("http://ictvonline.org/taxonomy/p/taxonomy-history?taxnode_id=201854230","ICTVonline=201854230")</f>
        <v>ICTVonline=201854230</v>
      </c>
      <c r="AA5099" s="1">
        <v>201850000</v>
      </c>
      <c r="AB5099" s="1">
        <v>34</v>
      </c>
    </row>
    <row r="5100" spans="1:28" x14ac:dyDescent="0.15">
      <c r="A5100" s="1">
        <v>12723</v>
      </c>
      <c r="L5100" s="1" t="s">
        <v>1918</v>
      </c>
      <c r="M5100" s="1" t="s">
        <v>1919</v>
      </c>
      <c r="N5100" s="1" t="s">
        <v>2551</v>
      </c>
      <c r="P5100" s="1" t="s">
        <v>2552</v>
      </c>
      <c r="Q5100" s="3">
        <v>1</v>
      </c>
      <c r="S5100" s="23" t="s">
        <v>5949</v>
      </c>
      <c r="W5100" s="45" t="str">
        <f>HYPERLINK("http://ictvonline.org/taxonomy/p/taxonomy-history?taxnode_id=201854232","ICTVonline=201854232")</f>
        <v>ICTVonline=201854232</v>
      </c>
      <c r="AA5100" s="1">
        <v>201850000</v>
      </c>
      <c r="AB5100" s="1">
        <v>34</v>
      </c>
    </row>
    <row r="5101" spans="1:28" x14ac:dyDescent="0.15">
      <c r="A5101" s="1">
        <v>12726</v>
      </c>
      <c r="L5101" s="1" t="s">
        <v>1918</v>
      </c>
      <c r="M5101" s="1" t="s">
        <v>1919</v>
      </c>
      <c r="P5101" s="1" t="s">
        <v>4821</v>
      </c>
      <c r="Q5101" s="3">
        <v>0</v>
      </c>
      <c r="S5101" s="23" t="s">
        <v>5949</v>
      </c>
      <c r="W5101" s="45" t="str">
        <f>HYPERLINK("http://ictvonline.org/taxonomy/p/taxonomy-history?taxnode_id=201854234","ICTVonline=201854234")</f>
        <v>ICTVonline=201854234</v>
      </c>
      <c r="AA5101" s="1">
        <v>201850000</v>
      </c>
      <c r="AB5101" s="1">
        <v>34</v>
      </c>
    </row>
    <row r="5102" spans="1:28" x14ac:dyDescent="0.15">
      <c r="A5102" s="1">
        <v>12731</v>
      </c>
      <c r="L5102" s="1" t="s">
        <v>1918</v>
      </c>
      <c r="M5102" s="1" t="s">
        <v>1618</v>
      </c>
      <c r="N5102" s="1" t="s">
        <v>2553</v>
      </c>
      <c r="P5102" s="1" t="s">
        <v>2554</v>
      </c>
      <c r="Q5102" s="3">
        <v>1</v>
      </c>
      <c r="S5102" s="23" t="s">
        <v>5949</v>
      </c>
      <c r="W5102" s="45" t="str">
        <f>HYPERLINK("http://ictvonline.org/taxonomy/p/taxonomy-history?taxnode_id=201854237","ICTVonline=201854237")</f>
        <v>ICTVonline=201854237</v>
      </c>
      <c r="AA5102" s="1">
        <v>201850000</v>
      </c>
      <c r="AB5102" s="1">
        <v>34</v>
      </c>
    </row>
    <row r="5103" spans="1:28" x14ac:dyDescent="0.15">
      <c r="A5103" s="1">
        <v>12733</v>
      </c>
      <c r="L5103" s="1" t="s">
        <v>1918</v>
      </c>
      <c r="M5103" s="1" t="s">
        <v>1618</v>
      </c>
      <c r="N5103" s="1" t="s">
        <v>2553</v>
      </c>
      <c r="P5103" s="1" t="s">
        <v>2555</v>
      </c>
      <c r="Q5103" s="3">
        <v>0</v>
      </c>
      <c r="S5103" s="23" t="s">
        <v>5949</v>
      </c>
      <c r="W5103" s="45" t="str">
        <f>HYPERLINK("http://ictvonline.org/taxonomy/p/taxonomy-history?taxnode_id=201854238","ICTVonline=201854238")</f>
        <v>ICTVonline=201854238</v>
      </c>
      <c r="AA5103" s="1">
        <v>201850000</v>
      </c>
      <c r="AB5103" s="1">
        <v>34</v>
      </c>
    </row>
    <row r="5104" spans="1:28" x14ac:dyDescent="0.15">
      <c r="A5104" s="1">
        <v>12735</v>
      </c>
      <c r="L5104" s="1" t="s">
        <v>1918</v>
      </c>
      <c r="M5104" s="1" t="s">
        <v>1618</v>
      </c>
      <c r="N5104" s="1" t="s">
        <v>2553</v>
      </c>
      <c r="P5104" s="1" t="s">
        <v>5496</v>
      </c>
      <c r="Q5104" s="3">
        <v>0</v>
      </c>
      <c r="S5104" s="23" t="s">
        <v>5949</v>
      </c>
      <c r="W5104" s="45" t="str">
        <f>HYPERLINK("http://ictvonline.org/taxonomy/p/taxonomy-history?taxnode_id=201855887","ICTVonline=201855887")</f>
        <v>ICTVonline=201855887</v>
      </c>
      <c r="AA5104" s="1">
        <v>201850000</v>
      </c>
      <c r="AB5104" s="1">
        <v>34</v>
      </c>
    </row>
    <row r="5105" spans="1:28" x14ac:dyDescent="0.15">
      <c r="A5105" s="1">
        <v>12737</v>
      </c>
      <c r="L5105" s="1" t="s">
        <v>1918</v>
      </c>
      <c r="M5105" s="1" t="s">
        <v>1618</v>
      </c>
      <c r="N5105" s="1" t="s">
        <v>2553</v>
      </c>
      <c r="P5105" s="1" t="s">
        <v>5497</v>
      </c>
      <c r="Q5105" s="3">
        <v>0</v>
      </c>
      <c r="S5105" s="23" t="s">
        <v>5949</v>
      </c>
      <c r="W5105" s="45" t="str">
        <f>HYPERLINK("http://ictvonline.org/taxonomy/p/taxonomy-history?taxnode_id=201855888","ICTVonline=201855888")</f>
        <v>ICTVonline=201855888</v>
      </c>
      <c r="AA5105" s="1">
        <v>201850000</v>
      </c>
      <c r="AB5105" s="1">
        <v>34</v>
      </c>
    </row>
    <row r="5106" spans="1:28" x14ac:dyDescent="0.15">
      <c r="A5106" s="1">
        <v>12741</v>
      </c>
      <c r="L5106" s="1" t="s">
        <v>1918</v>
      </c>
      <c r="M5106" s="1" t="s">
        <v>1618</v>
      </c>
      <c r="N5106" s="1" t="s">
        <v>2556</v>
      </c>
      <c r="P5106" s="1" t="s">
        <v>2557</v>
      </c>
      <c r="Q5106" s="3">
        <v>1</v>
      </c>
      <c r="S5106" s="23" t="s">
        <v>5949</v>
      </c>
      <c r="W5106" s="45" t="str">
        <f>HYPERLINK("http://ictvonline.org/taxonomy/p/taxonomy-history?taxnode_id=201854240","ICTVonline=201854240")</f>
        <v>ICTVonline=201854240</v>
      </c>
      <c r="AA5106" s="1">
        <v>201850000</v>
      </c>
      <c r="AB5106" s="1">
        <v>34</v>
      </c>
    </row>
    <row r="5107" spans="1:28" x14ac:dyDescent="0.15">
      <c r="A5107" s="1">
        <v>12745</v>
      </c>
      <c r="L5107" s="1" t="s">
        <v>1918</v>
      </c>
      <c r="M5107" s="1" t="s">
        <v>1618</v>
      </c>
      <c r="N5107" s="1" t="s">
        <v>2558</v>
      </c>
      <c r="P5107" s="1" t="s">
        <v>2559</v>
      </c>
      <c r="Q5107" s="3">
        <v>0</v>
      </c>
      <c r="S5107" s="23" t="s">
        <v>5949</v>
      </c>
      <c r="W5107" s="45" t="str">
        <f>HYPERLINK("http://ictvonline.org/taxonomy/p/taxonomy-history?taxnode_id=201854242","ICTVonline=201854242")</f>
        <v>ICTVonline=201854242</v>
      </c>
      <c r="AA5107" s="1">
        <v>201850000</v>
      </c>
      <c r="AB5107" s="1">
        <v>34</v>
      </c>
    </row>
    <row r="5108" spans="1:28" x14ac:dyDescent="0.15">
      <c r="A5108" s="1">
        <v>12747</v>
      </c>
      <c r="L5108" s="1" t="s">
        <v>1918</v>
      </c>
      <c r="M5108" s="1" t="s">
        <v>1618</v>
      </c>
      <c r="N5108" s="1" t="s">
        <v>2558</v>
      </c>
      <c r="P5108" s="1" t="s">
        <v>2560</v>
      </c>
      <c r="Q5108" s="3">
        <v>0</v>
      </c>
      <c r="S5108" s="23" t="s">
        <v>5949</v>
      </c>
      <c r="W5108" s="45" t="str">
        <f>HYPERLINK("http://ictvonline.org/taxonomy/p/taxonomy-history?taxnode_id=201854243","ICTVonline=201854243")</f>
        <v>ICTVonline=201854243</v>
      </c>
      <c r="AA5108" s="1">
        <v>201850000</v>
      </c>
      <c r="AB5108" s="1">
        <v>34</v>
      </c>
    </row>
    <row r="5109" spans="1:28" x14ac:dyDescent="0.15">
      <c r="A5109" s="1">
        <v>12749</v>
      </c>
      <c r="L5109" s="1" t="s">
        <v>1918</v>
      </c>
      <c r="M5109" s="1" t="s">
        <v>1618</v>
      </c>
      <c r="N5109" s="1" t="s">
        <v>2558</v>
      </c>
      <c r="P5109" s="1" t="s">
        <v>2561</v>
      </c>
      <c r="Q5109" s="3">
        <v>0</v>
      </c>
      <c r="S5109" s="23" t="s">
        <v>5949</v>
      </c>
      <c r="W5109" s="45" t="str">
        <f>HYPERLINK("http://ictvonline.org/taxonomy/p/taxonomy-history?taxnode_id=201854244","ICTVonline=201854244")</f>
        <v>ICTVonline=201854244</v>
      </c>
      <c r="AA5109" s="1">
        <v>201850000</v>
      </c>
      <c r="AB5109" s="1">
        <v>34</v>
      </c>
    </row>
    <row r="5110" spans="1:28" x14ac:dyDescent="0.15">
      <c r="A5110" s="1">
        <v>12751</v>
      </c>
      <c r="L5110" s="1" t="s">
        <v>1918</v>
      </c>
      <c r="M5110" s="1" t="s">
        <v>1618</v>
      </c>
      <c r="N5110" s="1" t="s">
        <v>2558</v>
      </c>
      <c r="P5110" s="1" t="s">
        <v>5498</v>
      </c>
      <c r="Q5110" s="3">
        <v>0</v>
      </c>
      <c r="S5110" s="23" t="s">
        <v>5949</v>
      </c>
      <c r="W5110" s="45" t="str">
        <f>HYPERLINK("http://ictvonline.org/taxonomy/p/taxonomy-history?taxnode_id=201855889","ICTVonline=201855889")</f>
        <v>ICTVonline=201855889</v>
      </c>
      <c r="AA5110" s="1">
        <v>201850000</v>
      </c>
      <c r="AB5110" s="1">
        <v>34</v>
      </c>
    </row>
    <row r="5111" spans="1:28" x14ac:dyDescent="0.15">
      <c r="A5111" s="1">
        <v>12753</v>
      </c>
      <c r="L5111" s="1" t="s">
        <v>1918</v>
      </c>
      <c r="M5111" s="1" t="s">
        <v>1618</v>
      </c>
      <c r="N5111" s="1" t="s">
        <v>2558</v>
      </c>
      <c r="P5111" s="1" t="s">
        <v>5499</v>
      </c>
      <c r="Q5111" s="3">
        <v>0</v>
      </c>
      <c r="S5111" s="23" t="s">
        <v>5949</v>
      </c>
      <c r="W5111" s="45" t="str">
        <f>HYPERLINK("http://ictvonline.org/taxonomy/p/taxonomy-history?taxnode_id=201855890","ICTVonline=201855890")</f>
        <v>ICTVonline=201855890</v>
      </c>
      <c r="AA5111" s="1">
        <v>201850000</v>
      </c>
      <c r="AB5111" s="1">
        <v>34</v>
      </c>
    </row>
    <row r="5112" spans="1:28" x14ac:dyDescent="0.15">
      <c r="A5112" s="1">
        <v>12755</v>
      </c>
      <c r="L5112" s="1" t="s">
        <v>1918</v>
      </c>
      <c r="M5112" s="1" t="s">
        <v>1618</v>
      </c>
      <c r="N5112" s="1" t="s">
        <v>2558</v>
      </c>
      <c r="P5112" s="1" t="s">
        <v>5500</v>
      </c>
      <c r="Q5112" s="3">
        <v>0</v>
      </c>
      <c r="S5112" s="23" t="s">
        <v>5949</v>
      </c>
      <c r="W5112" s="45" t="str">
        <f>HYPERLINK("http://ictvonline.org/taxonomy/p/taxonomy-history?taxnode_id=201855891","ICTVonline=201855891")</f>
        <v>ICTVonline=201855891</v>
      </c>
      <c r="AA5112" s="1">
        <v>201850000</v>
      </c>
      <c r="AB5112" s="1">
        <v>34</v>
      </c>
    </row>
    <row r="5113" spans="1:28" x14ac:dyDescent="0.15">
      <c r="A5113" s="1">
        <v>12757</v>
      </c>
      <c r="L5113" s="1" t="s">
        <v>1918</v>
      </c>
      <c r="M5113" s="1" t="s">
        <v>1618</v>
      </c>
      <c r="N5113" s="1" t="s">
        <v>2558</v>
      </c>
      <c r="P5113" s="1" t="s">
        <v>5501</v>
      </c>
      <c r="Q5113" s="3">
        <v>0</v>
      </c>
      <c r="S5113" s="23" t="s">
        <v>5949</v>
      </c>
      <c r="W5113" s="45" t="str">
        <f>HYPERLINK("http://ictvonline.org/taxonomy/p/taxonomy-history?taxnode_id=201855892","ICTVonline=201855892")</f>
        <v>ICTVonline=201855892</v>
      </c>
      <c r="AA5113" s="1">
        <v>201850000</v>
      </c>
      <c r="AB5113" s="1">
        <v>34</v>
      </c>
    </row>
    <row r="5114" spans="1:28" x14ac:dyDescent="0.15">
      <c r="A5114" s="1">
        <v>12759</v>
      </c>
      <c r="L5114" s="1" t="s">
        <v>1918</v>
      </c>
      <c r="M5114" s="1" t="s">
        <v>1618</v>
      </c>
      <c r="N5114" s="1" t="s">
        <v>2558</v>
      </c>
      <c r="P5114" s="1" t="s">
        <v>5502</v>
      </c>
      <c r="Q5114" s="3">
        <v>0</v>
      </c>
      <c r="S5114" s="23" t="s">
        <v>5949</v>
      </c>
      <c r="W5114" s="45" t="str">
        <f>HYPERLINK("http://ictvonline.org/taxonomy/p/taxonomy-history?taxnode_id=201855893","ICTVonline=201855893")</f>
        <v>ICTVonline=201855893</v>
      </c>
      <c r="AA5114" s="1">
        <v>201850000</v>
      </c>
      <c r="AB5114" s="1">
        <v>34</v>
      </c>
    </row>
    <row r="5115" spans="1:28" x14ac:dyDescent="0.15">
      <c r="A5115" s="1">
        <v>12761</v>
      </c>
      <c r="L5115" s="1" t="s">
        <v>1918</v>
      </c>
      <c r="M5115" s="1" t="s">
        <v>1618</v>
      </c>
      <c r="N5115" s="1" t="s">
        <v>2558</v>
      </c>
      <c r="P5115" s="1" t="s">
        <v>5503</v>
      </c>
      <c r="Q5115" s="3">
        <v>0</v>
      </c>
      <c r="S5115" s="23" t="s">
        <v>5949</v>
      </c>
      <c r="W5115" s="45" t="str">
        <f>HYPERLINK("http://ictvonline.org/taxonomy/p/taxonomy-history?taxnode_id=201855894","ICTVonline=201855894")</f>
        <v>ICTVonline=201855894</v>
      </c>
      <c r="AA5115" s="1">
        <v>201850000</v>
      </c>
      <c r="AB5115" s="1">
        <v>34</v>
      </c>
    </row>
    <row r="5116" spans="1:28" x14ac:dyDescent="0.15">
      <c r="A5116" s="1">
        <v>12763</v>
      </c>
      <c r="L5116" s="1" t="s">
        <v>1918</v>
      </c>
      <c r="M5116" s="1" t="s">
        <v>1618</v>
      </c>
      <c r="N5116" s="1" t="s">
        <v>2558</v>
      </c>
      <c r="P5116" s="1" t="s">
        <v>5504</v>
      </c>
      <c r="Q5116" s="3">
        <v>0</v>
      </c>
      <c r="S5116" s="23" t="s">
        <v>5949</v>
      </c>
      <c r="W5116" s="45" t="str">
        <f>HYPERLINK("http://ictvonline.org/taxonomy/p/taxonomy-history?taxnode_id=201855895","ICTVonline=201855895")</f>
        <v>ICTVonline=201855895</v>
      </c>
      <c r="AA5116" s="1">
        <v>201850000</v>
      </c>
      <c r="AB5116" s="1">
        <v>34</v>
      </c>
    </row>
    <row r="5117" spans="1:28" x14ac:dyDescent="0.15">
      <c r="A5117" s="1">
        <v>12765</v>
      </c>
      <c r="L5117" s="1" t="s">
        <v>1918</v>
      </c>
      <c r="M5117" s="1" t="s">
        <v>1618</v>
      </c>
      <c r="N5117" s="1" t="s">
        <v>2558</v>
      </c>
      <c r="P5117" s="1" t="s">
        <v>5505</v>
      </c>
      <c r="Q5117" s="3">
        <v>0</v>
      </c>
      <c r="S5117" s="23" t="s">
        <v>5949</v>
      </c>
      <c r="W5117" s="45" t="str">
        <f>HYPERLINK("http://ictvonline.org/taxonomy/p/taxonomy-history?taxnode_id=201855896","ICTVonline=201855896")</f>
        <v>ICTVonline=201855896</v>
      </c>
      <c r="AA5117" s="1">
        <v>201850000</v>
      </c>
      <c r="AB5117" s="1">
        <v>34</v>
      </c>
    </row>
    <row r="5118" spans="1:28" x14ac:dyDescent="0.15">
      <c r="A5118" s="1">
        <v>12767</v>
      </c>
      <c r="L5118" s="1" t="s">
        <v>1918</v>
      </c>
      <c r="M5118" s="1" t="s">
        <v>1618</v>
      </c>
      <c r="N5118" s="1" t="s">
        <v>2558</v>
      </c>
      <c r="P5118" s="1" t="s">
        <v>2562</v>
      </c>
      <c r="Q5118" s="3">
        <v>0</v>
      </c>
      <c r="S5118" s="23" t="s">
        <v>5949</v>
      </c>
      <c r="W5118" s="45" t="str">
        <f>HYPERLINK("http://ictvonline.org/taxonomy/p/taxonomy-history?taxnode_id=201854245","ICTVonline=201854245")</f>
        <v>ICTVonline=201854245</v>
      </c>
      <c r="AA5118" s="1">
        <v>201850000</v>
      </c>
      <c r="AB5118" s="1">
        <v>34</v>
      </c>
    </row>
    <row r="5119" spans="1:28" x14ac:dyDescent="0.15">
      <c r="A5119" s="1">
        <v>12769</v>
      </c>
      <c r="L5119" s="1" t="s">
        <v>1918</v>
      </c>
      <c r="M5119" s="1" t="s">
        <v>1618</v>
      </c>
      <c r="N5119" s="1" t="s">
        <v>2558</v>
      </c>
      <c r="P5119" s="1" t="s">
        <v>2563</v>
      </c>
      <c r="Q5119" s="3">
        <v>0</v>
      </c>
      <c r="S5119" s="23" t="s">
        <v>5949</v>
      </c>
      <c r="W5119" s="45" t="str">
        <f>HYPERLINK("http://ictvonline.org/taxonomy/p/taxonomy-history?taxnode_id=201854246","ICTVonline=201854246")</f>
        <v>ICTVonline=201854246</v>
      </c>
      <c r="AA5119" s="1">
        <v>201850000</v>
      </c>
      <c r="AB5119" s="1">
        <v>34</v>
      </c>
    </row>
    <row r="5120" spans="1:28" x14ac:dyDescent="0.15">
      <c r="A5120" s="1">
        <v>12771</v>
      </c>
      <c r="L5120" s="1" t="s">
        <v>1918</v>
      </c>
      <c r="M5120" s="1" t="s">
        <v>1618</v>
      </c>
      <c r="N5120" s="1" t="s">
        <v>2558</v>
      </c>
      <c r="P5120" s="1" t="s">
        <v>2564</v>
      </c>
      <c r="Q5120" s="3">
        <v>0</v>
      </c>
      <c r="S5120" s="23" t="s">
        <v>5949</v>
      </c>
      <c r="W5120" s="45" t="str">
        <f>HYPERLINK("http://ictvonline.org/taxonomy/p/taxonomy-history?taxnode_id=201854247","ICTVonline=201854247")</f>
        <v>ICTVonline=201854247</v>
      </c>
      <c r="AA5120" s="1">
        <v>201850000</v>
      </c>
      <c r="AB5120" s="1">
        <v>34</v>
      </c>
    </row>
    <row r="5121" spans="1:28" x14ac:dyDescent="0.15">
      <c r="A5121" s="1">
        <v>12773</v>
      </c>
      <c r="L5121" s="1" t="s">
        <v>1918</v>
      </c>
      <c r="M5121" s="1" t="s">
        <v>1618</v>
      </c>
      <c r="N5121" s="1" t="s">
        <v>2558</v>
      </c>
      <c r="P5121" s="1" t="s">
        <v>2565</v>
      </c>
      <c r="Q5121" s="3">
        <v>0</v>
      </c>
      <c r="S5121" s="23" t="s">
        <v>5949</v>
      </c>
      <c r="W5121" s="45" t="str">
        <f>HYPERLINK("http://ictvonline.org/taxonomy/p/taxonomy-history?taxnode_id=201854248","ICTVonline=201854248")</f>
        <v>ICTVonline=201854248</v>
      </c>
      <c r="AA5121" s="1">
        <v>201850000</v>
      </c>
      <c r="AB5121" s="1">
        <v>34</v>
      </c>
    </row>
    <row r="5122" spans="1:28" x14ac:dyDescent="0.15">
      <c r="A5122" s="1">
        <v>12775</v>
      </c>
      <c r="L5122" s="1" t="s">
        <v>1918</v>
      </c>
      <c r="M5122" s="1" t="s">
        <v>1618</v>
      </c>
      <c r="N5122" s="1" t="s">
        <v>2558</v>
      </c>
      <c r="P5122" s="1" t="s">
        <v>2566</v>
      </c>
      <c r="Q5122" s="3">
        <v>1</v>
      </c>
      <c r="S5122" s="23" t="s">
        <v>5949</v>
      </c>
      <c r="W5122" s="45" t="str">
        <f>HYPERLINK("http://ictvonline.org/taxonomy/p/taxonomy-history?taxnode_id=201854249","ICTVonline=201854249")</f>
        <v>ICTVonline=201854249</v>
      </c>
      <c r="AA5122" s="1">
        <v>201850000</v>
      </c>
      <c r="AB5122" s="1">
        <v>34</v>
      </c>
    </row>
    <row r="5123" spans="1:28" x14ac:dyDescent="0.15">
      <c r="A5123" s="1">
        <v>12777</v>
      </c>
      <c r="L5123" s="1" t="s">
        <v>1918</v>
      </c>
      <c r="M5123" s="1" t="s">
        <v>1618</v>
      </c>
      <c r="N5123" s="1" t="s">
        <v>2558</v>
      </c>
      <c r="P5123" s="1" t="s">
        <v>2567</v>
      </c>
      <c r="Q5123" s="3">
        <v>0</v>
      </c>
      <c r="S5123" s="23" t="s">
        <v>5949</v>
      </c>
      <c r="W5123" s="45" t="str">
        <f>HYPERLINK("http://ictvonline.org/taxonomy/p/taxonomy-history?taxnode_id=201854250","ICTVonline=201854250")</f>
        <v>ICTVonline=201854250</v>
      </c>
      <c r="AA5123" s="1">
        <v>201850000</v>
      </c>
      <c r="AB5123" s="1">
        <v>34</v>
      </c>
    </row>
    <row r="5124" spans="1:28" x14ac:dyDescent="0.15">
      <c r="A5124" s="1">
        <v>12779</v>
      </c>
      <c r="L5124" s="1" t="s">
        <v>1918</v>
      </c>
      <c r="M5124" s="1" t="s">
        <v>1618</v>
      </c>
      <c r="N5124" s="1" t="s">
        <v>2558</v>
      </c>
      <c r="P5124" s="1" t="s">
        <v>2568</v>
      </c>
      <c r="Q5124" s="3">
        <v>0</v>
      </c>
      <c r="S5124" s="23" t="s">
        <v>5949</v>
      </c>
      <c r="W5124" s="45" t="str">
        <f>HYPERLINK("http://ictvonline.org/taxonomy/p/taxonomy-history?taxnode_id=201854251","ICTVonline=201854251")</f>
        <v>ICTVonline=201854251</v>
      </c>
      <c r="AA5124" s="1">
        <v>201850000</v>
      </c>
      <c r="AB5124" s="1">
        <v>34</v>
      </c>
    </row>
    <row r="5125" spans="1:28" x14ac:dyDescent="0.15">
      <c r="A5125" s="1">
        <v>12781</v>
      </c>
      <c r="L5125" s="1" t="s">
        <v>1918</v>
      </c>
      <c r="M5125" s="1" t="s">
        <v>1618</v>
      </c>
      <c r="N5125" s="1" t="s">
        <v>2558</v>
      </c>
      <c r="P5125" s="1" t="s">
        <v>2569</v>
      </c>
      <c r="Q5125" s="3">
        <v>0</v>
      </c>
      <c r="S5125" s="23" t="s">
        <v>5949</v>
      </c>
      <c r="W5125" s="45" t="str">
        <f>HYPERLINK("http://ictvonline.org/taxonomy/p/taxonomy-history?taxnode_id=201854252","ICTVonline=201854252")</f>
        <v>ICTVonline=201854252</v>
      </c>
      <c r="AA5125" s="1">
        <v>201850000</v>
      </c>
      <c r="AB5125" s="1">
        <v>34</v>
      </c>
    </row>
    <row r="5126" spans="1:28" x14ac:dyDescent="0.15">
      <c r="A5126" s="1">
        <v>12783</v>
      </c>
      <c r="L5126" s="1" t="s">
        <v>1918</v>
      </c>
      <c r="M5126" s="1" t="s">
        <v>1618</v>
      </c>
      <c r="N5126" s="1" t="s">
        <v>2558</v>
      </c>
      <c r="P5126" s="1" t="s">
        <v>2570</v>
      </c>
      <c r="Q5126" s="3">
        <v>0</v>
      </c>
      <c r="S5126" s="23" t="s">
        <v>5949</v>
      </c>
      <c r="W5126" s="45" t="str">
        <f>HYPERLINK("http://ictvonline.org/taxonomy/p/taxonomy-history?taxnode_id=201854253","ICTVonline=201854253")</f>
        <v>ICTVonline=201854253</v>
      </c>
      <c r="AA5126" s="1">
        <v>201850000</v>
      </c>
      <c r="AB5126" s="1">
        <v>34</v>
      </c>
    </row>
    <row r="5127" spans="1:28" x14ac:dyDescent="0.15">
      <c r="A5127" s="1">
        <v>12785</v>
      </c>
      <c r="L5127" s="1" t="s">
        <v>1918</v>
      </c>
      <c r="M5127" s="1" t="s">
        <v>1618</v>
      </c>
      <c r="N5127" s="1" t="s">
        <v>2558</v>
      </c>
      <c r="P5127" s="1" t="s">
        <v>5506</v>
      </c>
      <c r="Q5127" s="3">
        <v>0</v>
      </c>
      <c r="S5127" s="23" t="s">
        <v>5949</v>
      </c>
      <c r="W5127" s="45" t="str">
        <f>HYPERLINK("http://ictvonline.org/taxonomy/p/taxonomy-history?taxnode_id=201855897","ICTVonline=201855897")</f>
        <v>ICTVonline=201855897</v>
      </c>
      <c r="AA5127" s="1">
        <v>201850000</v>
      </c>
      <c r="AB5127" s="1">
        <v>34</v>
      </c>
    </row>
    <row r="5128" spans="1:28" x14ac:dyDescent="0.15">
      <c r="A5128" s="1">
        <v>12789</v>
      </c>
      <c r="L5128" s="1" t="s">
        <v>1918</v>
      </c>
      <c r="M5128" s="1" t="s">
        <v>1618</v>
      </c>
      <c r="N5128" s="1" t="s">
        <v>2571</v>
      </c>
      <c r="P5128" s="1" t="s">
        <v>2572</v>
      </c>
      <c r="Q5128" s="3">
        <v>1</v>
      </c>
      <c r="S5128" s="23" t="s">
        <v>5949</v>
      </c>
      <c r="W5128" s="45" t="str">
        <f>HYPERLINK("http://ictvonline.org/taxonomy/p/taxonomy-history?taxnode_id=201854255","ICTVonline=201854255")</f>
        <v>ICTVonline=201854255</v>
      </c>
      <c r="AA5128" s="1">
        <v>201850000</v>
      </c>
      <c r="AB5128" s="1">
        <v>34</v>
      </c>
    </row>
    <row r="5129" spans="1:28" x14ac:dyDescent="0.15">
      <c r="A5129" s="1">
        <v>12791</v>
      </c>
      <c r="L5129" s="1" t="s">
        <v>1918</v>
      </c>
      <c r="M5129" s="1" t="s">
        <v>1618</v>
      </c>
      <c r="N5129" s="1" t="s">
        <v>2571</v>
      </c>
      <c r="P5129" s="1" t="s">
        <v>2573</v>
      </c>
      <c r="Q5129" s="3">
        <v>0</v>
      </c>
      <c r="S5129" s="23" t="s">
        <v>5949</v>
      </c>
      <c r="W5129" s="45" t="str">
        <f>HYPERLINK("http://ictvonline.org/taxonomy/p/taxonomy-history?taxnode_id=201854256","ICTVonline=201854256")</f>
        <v>ICTVonline=201854256</v>
      </c>
      <c r="AA5129" s="1">
        <v>201850000</v>
      </c>
      <c r="AB5129" s="1">
        <v>34</v>
      </c>
    </row>
    <row r="5130" spans="1:28" x14ac:dyDescent="0.15">
      <c r="A5130" s="1">
        <v>12795</v>
      </c>
      <c r="L5130" s="1" t="s">
        <v>1918</v>
      </c>
      <c r="M5130" s="1" t="s">
        <v>1618</v>
      </c>
      <c r="N5130" s="1" t="s">
        <v>2574</v>
      </c>
      <c r="P5130" s="1" t="s">
        <v>2575</v>
      </c>
      <c r="Q5130" s="3">
        <v>1</v>
      </c>
      <c r="S5130" s="23" t="s">
        <v>5949</v>
      </c>
      <c r="W5130" s="45" t="str">
        <f>HYPERLINK("http://ictvonline.org/taxonomy/p/taxonomy-history?taxnode_id=201854258","ICTVonline=201854258")</f>
        <v>ICTVonline=201854258</v>
      </c>
      <c r="AA5130" s="1">
        <v>201850000</v>
      </c>
      <c r="AB5130" s="1">
        <v>34</v>
      </c>
    </row>
    <row r="5131" spans="1:28" x14ac:dyDescent="0.15">
      <c r="A5131" s="1">
        <v>12797</v>
      </c>
      <c r="L5131" s="1" t="s">
        <v>1918</v>
      </c>
      <c r="M5131" s="1" t="s">
        <v>1618</v>
      </c>
      <c r="N5131" s="1" t="s">
        <v>2574</v>
      </c>
      <c r="P5131" s="1" t="s">
        <v>2576</v>
      </c>
      <c r="Q5131" s="3">
        <v>0</v>
      </c>
      <c r="S5131" s="23" t="s">
        <v>5949</v>
      </c>
      <c r="W5131" s="45" t="str">
        <f>HYPERLINK("http://ictvonline.org/taxonomy/p/taxonomy-history?taxnode_id=201854259","ICTVonline=201854259")</f>
        <v>ICTVonline=201854259</v>
      </c>
      <c r="AA5131" s="1">
        <v>201850000</v>
      </c>
      <c r="AB5131" s="1">
        <v>34</v>
      </c>
    </row>
    <row r="5132" spans="1:28" x14ac:dyDescent="0.15">
      <c r="A5132" s="1">
        <v>12799</v>
      </c>
      <c r="L5132" s="1" t="s">
        <v>1918</v>
      </c>
      <c r="M5132" s="1" t="s">
        <v>1618</v>
      </c>
      <c r="N5132" s="1" t="s">
        <v>2574</v>
      </c>
      <c r="P5132" s="1" t="s">
        <v>2577</v>
      </c>
      <c r="Q5132" s="3">
        <v>0</v>
      </c>
      <c r="S5132" s="23" t="s">
        <v>5949</v>
      </c>
      <c r="W5132" s="45" t="str">
        <f>HYPERLINK("http://ictvonline.org/taxonomy/p/taxonomy-history?taxnode_id=201854260","ICTVonline=201854260")</f>
        <v>ICTVonline=201854260</v>
      </c>
      <c r="AA5132" s="1">
        <v>201850000</v>
      </c>
      <c r="AB5132" s="1">
        <v>34</v>
      </c>
    </row>
    <row r="5133" spans="1:28" x14ac:dyDescent="0.15">
      <c r="A5133" s="1">
        <v>12801</v>
      </c>
      <c r="L5133" s="1" t="s">
        <v>1918</v>
      </c>
      <c r="M5133" s="1" t="s">
        <v>1618</v>
      </c>
      <c r="N5133" s="1" t="s">
        <v>2574</v>
      </c>
      <c r="P5133" s="1" t="s">
        <v>2578</v>
      </c>
      <c r="Q5133" s="3">
        <v>0</v>
      </c>
      <c r="S5133" s="23" t="s">
        <v>5949</v>
      </c>
      <c r="W5133" s="45" t="str">
        <f>HYPERLINK("http://ictvonline.org/taxonomy/p/taxonomy-history?taxnode_id=201854261","ICTVonline=201854261")</f>
        <v>ICTVonline=201854261</v>
      </c>
      <c r="AA5133" s="1">
        <v>201850000</v>
      </c>
      <c r="AB5133" s="1">
        <v>34</v>
      </c>
    </row>
    <row r="5134" spans="1:28" x14ac:dyDescent="0.15">
      <c r="A5134" s="1">
        <v>12803</v>
      </c>
      <c r="L5134" s="1" t="s">
        <v>1918</v>
      </c>
      <c r="M5134" s="1" t="s">
        <v>1618</v>
      </c>
      <c r="N5134" s="1" t="s">
        <v>2574</v>
      </c>
      <c r="P5134" s="1" t="s">
        <v>2579</v>
      </c>
      <c r="Q5134" s="3">
        <v>0</v>
      </c>
      <c r="S5134" s="23" t="s">
        <v>5949</v>
      </c>
      <c r="W5134" s="45" t="str">
        <f>HYPERLINK("http://ictvonline.org/taxonomy/p/taxonomy-history?taxnode_id=201854262","ICTVonline=201854262")</f>
        <v>ICTVonline=201854262</v>
      </c>
      <c r="AA5134" s="1">
        <v>201850000</v>
      </c>
      <c r="AB5134" s="1">
        <v>34</v>
      </c>
    </row>
    <row r="5135" spans="1:28" x14ac:dyDescent="0.15">
      <c r="A5135" s="1">
        <v>12805</v>
      </c>
      <c r="L5135" s="1" t="s">
        <v>1918</v>
      </c>
      <c r="M5135" s="1" t="s">
        <v>1618</v>
      </c>
      <c r="N5135" s="1" t="s">
        <v>2574</v>
      </c>
      <c r="P5135" s="1" t="s">
        <v>2580</v>
      </c>
      <c r="Q5135" s="3">
        <v>0</v>
      </c>
      <c r="S5135" s="23" t="s">
        <v>5949</v>
      </c>
      <c r="W5135" s="45" t="str">
        <f>HYPERLINK("http://ictvonline.org/taxonomy/p/taxonomy-history?taxnode_id=201854263","ICTVonline=201854263")</f>
        <v>ICTVonline=201854263</v>
      </c>
      <c r="AA5135" s="1">
        <v>201850000</v>
      </c>
      <c r="AB5135" s="1">
        <v>34</v>
      </c>
    </row>
    <row r="5136" spans="1:28" x14ac:dyDescent="0.15">
      <c r="A5136" s="1">
        <v>12807</v>
      </c>
      <c r="L5136" s="1" t="s">
        <v>1918</v>
      </c>
      <c r="M5136" s="1" t="s">
        <v>1618</v>
      </c>
      <c r="N5136" s="1" t="s">
        <v>2574</v>
      </c>
      <c r="P5136" s="1" t="s">
        <v>2581</v>
      </c>
      <c r="Q5136" s="3">
        <v>0</v>
      </c>
      <c r="S5136" s="23" t="s">
        <v>5949</v>
      </c>
      <c r="W5136" s="45" t="str">
        <f>HYPERLINK("http://ictvonline.org/taxonomy/p/taxonomy-history?taxnode_id=201854264","ICTVonline=201854264")</f>
        <v>ICTVonline=201854264</v>
      </c>
      <c r="AA5136" s="1">
        <v>201850000</v>
      </c>
      <c r="AB5136" s="1">
        <v>34</v>
      </c>
    </row>
    <row r="5137" spans="1:28" x14ac:dyDescent="0.15">
      <c r="A5137" s="1">
        <v>12809</v>
      </c>
      <c r="L5137" s="1" t="s">
        <v>1918</v>
      </c>
      <c r="M5137" s="1" t="s">
        <v>1618</v>
      </c>
      <c r="N5137" s="1" t="s">
        <v>2574</v>
      </c>
      <c r="P5137" s="1" t="s">
        <v>7121</v>
      </c>
      <c r="Q5137" s="3">
        <v>0</v>
      </c>
      <c r="S5137" s="23" t="s">
        <v>5949</v>
      </c>
      <c r="T5137" s="23" t="s">
        <v>4929</v>
      </c>
      <c r="U5137" s="3">
        <v>34</v>
      </c>
      <c r="V5137" s="3" t="s">
        <v>7122</v>
      </c>
      <c r="W5137" s="45" t="str">
        <f>HYPERLINK("http://ictvonline.org/taxonomy/p/taxonomy-history?taxnode_id=201856425","ICTVonline=201856425")</f>
        <v>ICTVonline=201856425</v>
      </c>
      <c r="AA5137" s="1">
        <v>201850000</v>
      </c>
      <c r="AB5137" s="1">
        <v>34</v>
      </c>
    </row>
    <row r="5138" spans="1:28" x14ac:dyDescent="0.15">
      <c r="A5138" s="1">
        <v>12813</v>
      </c>
      <c r="L5138" s="1" t="s">
        <v>1918</v>
      </c>
      <c r="M5138" s="1" t="s">
        <v>1618</v>
      </c>
      <c r="N5138" s="1" t="s">
        <v>2582</v>
      </c>
      <c r="P5138" s="1" t="s">
        <v>2583</v>
      </c>
      <c r="Q5138" s="3">
        <v>1</v>
      </c>
      <c r="S5138" s="23" t="s">
        <v>5949</v>
      </c>
      <c r="W5138" s="45" t="str">
        <f>HYPERLINK("http://ictvonline.org/taxonomy/p/taxonomy-history?taxnode_id=201854266","ICTVonline=201854266")</f>
        <v>ICTVonline=201854266</v>
      </c>
      <c r="AA5138" s="1">
        <v>201850000</v>
      </c>
      <c r="AB5138" s="1">
        <v>34</v>
      </c>
    </row>
    <row r="5139" spans="1:28" x14ac:dyDescent="0.15">
      <c r="A5139" s="1">
        <v>12815</v>
      </c>
      <c r="L5139" s="1" t="s">
        <v>1918</v>
      </c>
      <c r="M5139" s="1" t="s">
        <v>1618</v>
      </c>
      <c r="N5139" s="1" t="s">
        <v>2582</v>
      </c>
      <c r="P5139" s="1" t="s">
        <v>2584</v>
      </c>
      <c r="Q5139" s="3">
        <v>0</v>
      </c>
      <c r="S5139" s="23" t="s">
        <v>5949</v>
      </c>
      <c r="W5139" s="45" t="str">
        <f>HYPERLINK("http://ictvonline.org/taxonomy/p/taxonomy-history?taxnode_id=201854267","ICTVonline=201854267")</f>
        <v>ICTVonline=201854267</v>
      </c>
      <c r="AA5139" s="1">
        <v>201850000</v>
      </c>
      <c r="AB5139" s="1">
        <v>34</v>
      </c>
    </row>
    <row r="5140" spans="1:28" x14ac:dyDescent="0.15">
      <c r="A5140" s="1">
        <v>12817</v>
      </c>
      <c r="L5140" s="1" t="s">
        <v>1918</v>
      </c>
      <c r="M5140" s="1" t="s">
        <v>1618</v>
      </c>
      <c r="N5140" s="1" t="s">
        <v>2582</v>
      </c>
      <c r="P5140" s="1" t="s">
        <v>2585</v>
      </c>
      <c r="Q5140" s="3">
        <v>0</v>
      </c>
      <c r="S5140" s="23" t="s">
        <v>5949</v>
      </c>
      <c r="W5140" s="45" t="str">
        <f>HYPERLINK("http://ictvonline.org/taxonomy/p/taxonomy-history?taxnode_id=201854268","ICTVonline=201854268")</f>
        <v>ICTVonline=201854268</v>
      </c>
      <c r="AA5140" s="1">
        <v>201850000</v>
      </c>
      <c r="AB5140" s="1">
        <v>34</v>
      </c>
    </row>
    <row r="5141" spans="1:28" x14ac:dyDescent="0.15">
      <c r="A5141" s="1">
        <v>12819</v>
      </c>
      <c r="L5141" s="1" t="s">
        <v>1918</v>
      </c>
      <c r="M5141" s="1" t="s">
        <v>1618</v>
      </c>
      <c r="N5141" s="1" t="s">
        <v>2582</v>
      </c>
      <c r="P5141" s="1" t="s">
        <v>2586</v>
      </c>
      <c r="Q5141" s="3">
        <v>0</v>
      </c>
      <c r="S5141" s="23" t="s">
        <v>5949</v>
      </c>
      <c r="W5141" s="45" t="str">
        <f>HYPERLINK("http://ictvonline.org/taxonomy/p/taxonomy-history?taxnode_id=201854269","ICTVonline=201854269")</f>
        <v>ICTVonline=201854269</v>
      </c>
      <c r="AA5141" s="1">
        <v>201850000</v>
      </c>
      <c r="AB5141" s="1">
        <v>34</v>
      </c>
    </row>
    <row r="5142" spans="1:28" x14ac:dyDescent="0.15">
      <c r="A5142" s="1">
        <v>12821</v>
      </c>
      <c r="L5142" s="1" t="s">
        <v>1918</v>
      </c>
      <c r="M5142" s="1" t="s">
        <v>1618</v>
      </c>
      <c r="N5142" s="1" t="s">
        <v>2582</v>
      </c>
      <c r="P5142" s="1" t="s">
        <v>2587</v>
      </c>
      <c r="Q5142" s="3">
        <v>0</v>
      </c>
      <c r="S5142" s="23" t="s">
        <v>5949</v>
      </c>
      <c r="W5142" s="45" t="str">
        <f>HYPERLINK("http://ictvonline.org/taxonomy/p/taxonomy-history?taxnode_id=201854270","ICTVonline=201854270")</f>
        <v>ICTVonline=201854270</v>
      </c>
      <c r="AA5142" s="1">
        <v>201850000</v>
      </c>
      <c r="AB5142" s="1">
        <v>34</v>
      </c>
    </row>
    <row r="5143" spans="1:28" x14ac:dyDescent="0.15">
      <c r="A5143" s="1">
        <v>12823</v>
      </c>
      <c r="L5143" s="1" t="s">
        <v>1918</v>
      </c>
      <c r="M5143" s="1" t="s">
        <v>1618</v>
      </c>
      <c r="N5143" s="1" t="s">
        <v>2582</v>
      </c>
      <c r="P5143" s="1" t="s">
        <v>2588</v>
      </c>
      <c r="Q5143" s="3">
        <v>0</v>
      </c>
      <c r="S5143" s="23" t="s">
        <v>5949</v>
      </c>
      <c r="W5143" s="45" t="str">
        <f>HYPERLINK("http://ictvonline.org/taxonomy/p/taxonomy-history?taxnode_id=201854271","ICTVonline=201854271")</f>
        <v>ICTVonline=201854271</v>
      </c>
      <c r="AA5143" s="1">
        <v>201850000</v>
      </c>
      <c r="AB5143" s="1">
        <v>34</v>
      </c>
    </row>
    <row r="5144" spans="1:28" x14ac:dyDescent="0.15">
      <c r="A5144" s="1">
        <v>12827</v>
      </c>
      <c r="L5144" s="1" t="s">
        <v>1918</v>
      </c>
      <c r="M5144" s="1" t="s">
        <v>1618</v>
      </c>
      <c r="N5144" s="1" t="s">
        <v>2589</v>
      </c>
      <c r="P5144" s="1" t="s">
        <v>2590</v>
      </c>
      <c r="Q5144" s="3">
        <v>0</v>
      </c>
      <c r="S5144" s="23" t="s">
        <v>5949</v>
      </c>
      <c r="W5144" s="45" t="str">
        <f>HYPERLINK("http://ictvonline.org/taxonomy/p/taxonomy-history?taxnode_id=201854273","ICTVonline=201854273")</f>
        <v>ICTVonline=201854273</v>
      </c>
      <c r="AA5144" s="1">
        <v>201850000</v>
      </c>
      <c r="AB5144" s="1">
        <v>34</v>
      </c>
    </row>
    <row r="5145" spans="1:28" x14ac:dyDescent="0.15">
      <c r="A5145" s="1">
        <v>12829</v>
      </c>
      <c r="L5145" s="1" t="s">
        <v>1918</v>
      </c>
      <c r="M5145" s="1" t="s">
        <v>1618</v>
      </c>
      <c r="N5145" s="1" t="s">
        <v>2589</v>
      </c>
      <c r="P5145" s="1" t="s">
        <v>5507</v>
      </c>
      <c r="Q5145" s="3">
        <v>0</v>
      </c>
      <c r="S5145" s="23" t="s">
        <v>5949</v>
      </c>
      <c r="W5145" s="45" t="str">
        <f>HYPERLINK("http://ictvonline.org/taxonomy/p/taxonomy-history?taxnode_id=201855898","ICTVonline=201855898")</f>
        <v>ICTVonline=201855898</v>
      </c>
      <c r="AA5145" s="1">
        <v>201850000</v>
      </c>
      <c r="AB5145" s="1">
        <v>34</v>
      </c>
    </row>
    <row r="5146" spans="1:28" x14ac:dyDescent="0.15">
      <c r="A5146" s="1">
        <v>12831</v>
      </c>
      <c r="L5146" s="1" t="s">
        <v>1918</v>
      </c>
      <c r="M5146" s="1" t="s">
        <v>1618</v>
      </c>
      <c r="N5146" s="1" t="s">
        <v>2589</v>
      </c>
      <c r="P5146" s="1" t="s">
        <v>5508</v>
      </c>
      <c r="Q5146" s="3">
        <v>0</v>
      </c>
      <c r="S5146" s="23" t="s">
        <v>5949</v>
      </c>
      <c r="W5146" s="45" t="str">
        <f>HYPERLINK("http://ictvonline.org/taxonomy/p/taxonomy-history?taxnode_id=201855899","ICTVonline=201855899")</f>
        <v>ICTVonline=201855899</v>
      </c>
      <c r="AA5146" s="1">
        <v>201850000</v>
      </c>
      <c r="AB5146" s="1">
        <v>34</v>
      </c>
    </row>
    <row r="5147" spans="1:28" x14ac:dyDescent="0.15">
      <c r="A5147" s="1">
        <v>12833</v>
      </c>
      <c r="L5147" s="1" t="s">
        <v>1918</v>
      </c>
      <c r="M5147" s="1" t="s">
        <v>1618</v>
      </c>
      <c r="N5147" s="1" t="s">
        <v>2589</v>
      </c>
      <c r="P5147" s="1" t="s">
        <v>2591</v>
      </c>
      <c r="Q5147" s="3">
        <v>0</v>
      </c>
      <c r="S5147" s="23" t="s">
        <v>5949</v>
      </c>
      <c r="W5147" s="45" t="str">
        <f>HYPERLINK("http://ictvonline.org/taxonomy/p/taxonomy-history?taxnode_id=201854274","ICTVonline=201854274")</f>
        <v>ICTVonline=201854274</v>
      </c>
      <c r="AA5147" s="1">
        <v>201850000</v>
      </c>
      <c r="AB5147" s="1">
        <v>34</v>
      </c>
    </row>
    <row r="5148" spans="1:28" x14ac:dyDescent="0.15">
      <c r="A5148" s="1">
        <v>12835</v>
      </c>
      <c r="L5148" s="1" t="s">
        <v>1918</v>
      </c>
      <c r="M5148" s="1" t="s">
        <v>1618</v>
      </c>
      <c r="N5148" s="1" t="s">
        <v>2589</v>
      </c>
      <c r="P5148" s="1" t="s">
        <v>5509</v>
      </c>
      <c r="Q5148" s="3">
        <v>0</v>
      </c>
      <c r="S5148" s="23" t="s">
        <v>5949</v>
      </c>
      <c r="W5148" s="45" t="str">
        <f>HYPERLINK("http://ictvonline.org/taxonomy/p/taxonomy-history?taxnode_id=201855900","ICTVonline=201855900")</f>
        <v>ICTVonline=201855900</v>
      </c>
      <c r="AA5148" s="1">
        <v>201850000</v>
      </c>
      <c r="AB5148" s="1">
        <v>34</v>
      </c>
    </row>
    <row r="5149" spans="1:28" x14ac:dyDescent="0.15">
      <c r="A5149" s="1">
        <v>12837</v>
      </c>
      <c r="L5149" s="1" t="s">
        <v>1918</v>
      </c>
      <c r="M5149" s="1" t="s">
        <v>1618</v>
      </c>
      <c r="N5149" s="1" t="s">
        <v>2589</v>
      </c>
      <c r="P5149" s="1" t="s">
        <v>5510</v>
      </c>
      <c r="Q5149" s="3">
        <v>0</v>
      </c>
      <c r="S5149" s="23" t="s">
        <v>5949</v>
      </c>
      <c r="W5149" s="45" t="str">
        <f>HYPERLINK("http://ictvonline.org/taxonomy/p/taxonomy-history?taxnode_id=201855901","ICTVonline=201855901")</f>
        <v>ICTVonline=201855901</v>
      </c>
      <c r="AA5149" s="1">
        <v>201850000</v>
      </c>
      <c r="AB5149" s="1">
        <v>34</v>
      </c>
    </row>
    <row r="5150" spans="1:28" x14ac:dyDescent="0.15">
      <c r="A5150" s="1">
        <v>12839</v>
      </c>
      <c r="L5150" s="1" t="s">
        <v>1918</v>
      </c>
      <c r="M5150" s="1" t="s">
        <v>1618</v>
      </c>
      <c r="N5150" s="1" t="s">
        <v>2589</v>
      </c>
      <c r="P5150" s="1" t="s">
        <v>2592</v>
      </c>
      <c r="Q5150" s="3">
        <v>1</v>
      </c>
      <c r="S5150" s="23" t="s">
        <v>5949</v>
      </c>
      <c r="W5150" s="45" t="str">
        <f>HYPERLINK("http://ictvonline.org/taxonomy/p/taxonomy-history?taxnode_id=201854275","ICTVonline=201854275")</f>
        <v>ICTVonline=201854275</v>
      </c>
      <c r="AA5150" s="1">
        <v>201850000</v>
      </c>
      <c r="AB5150" s="1">
        <v>34</v>
      </c>
    </row>
    <row r="5151" spans="1:28" x14ac:dyDescent="0.15">
      <c r="A5151" s="1">
        <v>12841</v>
      </c>
      <c r="L5151" s="1" t="s">
        <v>1918</v>
      </c>
      <c r="M5151" s="1" t="s">
        <v>1618</v>
      </c>
      <c r="N5151" s="1" t="s">
        <v>2589</v>
      </c>
      <c r="P5151" s="1" t="s">
        <v>2593</v>
      </c>
      <c r="Q5151" s="3">
        <v>0</v>
      </c>
      <c r="S5151" s="23" t="s">
        <v>5949</v>
      </c>
      <c r="W5151" s="45" t="str">
        <f>HYPERLINK("http://ictvonline.org/taxonomy/p/taxonomy-history?taxnode_id=201854276","ICTVonline=201854276")</f>
        <v>ICTVonline=201854276</v>
      </c>
      <c r="AA5151" s="1">
        <v>201850000</v>
      </c>
      <c r="AB5151" s="1">
        <v>34</v>
      </c>
    </row>
    <row r="5152" spans="1:28" x14ac:dyDescent="0.15">
      <c r="A5152" s="1">
        <v>12843</v>
      </c>
      <c r="L5152" s="1" t="s">
        <v>1918</v>
      </c>
      <c r="M5152" s="1" t="s">
        <v>1618</v>
      </c>
      <c r="N5152" s="1" t="s">
        <v>2589</v>
      </c>
      <c r="P5152" s="1" t="s">
        <v>5511</v>
      </c>
      <c r="Q5152" s="3">
        <v>0</v>
      </c>
      <c r="S5152" s="23" t="s">
        <v>5949</v>
      </c>
      <c r="W5152" s="45" t="str">
        <f>HYPERLINK("http://ictvonline.org/taxonomy/p/taxonomy-history?taxnode_id=201855902","ICTVonline=201855902")</f>
        <v>ICTVonline=201855902</v>
      </c>
      <c r="AA5152" s="1">
        <v>201850000</v>
      </c>
      <c r="AB5152" s="1">
        <v>34</v>
      </c>
    </row>
    <row r="5153" spans="1:28" x14ac:dyDescent="0.15">
      <c r="A5153" s="1">
        <v>12845</v>
      </c>
      <c r="L5153" s="1" t="s">
        <v>1918</v>
      </c>
      <c r="M5153" s="1" t="s">
        <v>1618</v>
      </c>
      <c r="N5153" s="1" t="s">
        <v>2589</v>
      </c>
      <c r="P5153" s="1" t="s">
        <v>2594</v>
      </c>
      <c r="Q5153" s="3">
        <v>0</v>
      </c>
      <c r="S5153" s="23" t="s">
        <v>5949</v>
      </c>
      <c r="W5153" s="45" t="str">
        <f>HYPERLINK("http://ictvonline.org/taxonomy/p/taxonomy-history?taxnode_id=201854277","ICTVonline=201854277")</f>
        <v>ICTVonline=201854277</v>
      </c>
      <c r="AA5153" s="1">
        <v>201850000</v>
      </c>
      <c r="AB5153" s="1">
        <v>34</v>
      </c>
    </row>
    <row r="5154" spans="1:28" x14ac:dyDescent="0.15">
      <c r="A5154" s="1">
        <v>12847</v>
      </c>
      <c r="L5154" s="1" t="s">
        <v>1918</v>
      </c>
      <c r="M5154" s="1" t="s">
        <v>1618</v>
      </c>
      <c r="N5154" s="1" t="s">
        <v>2589</v>
      </c>
      <c r="P5154" s="1" t="s">
        <v>5512</v>
      </c>
      <c r="Q5154" s="3">
        <v>0</v>
      </c>
      <c r="S5154" s="23" t="s">
        <v>5949</v>
      </c>
      <c r="W5154" s="45" t="str">
        <f>HYPERLINK("http://ictvonline.org/taxonomy/p/taxonomy-history?taxnode_id=201855903","ICTVonline=201855903")</f>
        <v>ICTVonline=201855903</v>
      </c>
      <c r="AA5154" s="1">
        <v>201850000</v>
      </c>
      <c r="AB5154" s="1">
        <v>34</v>
      </c>
    </row>
    <row r="5155" spans="1:28" x14ac:dyDescent="0.15">
      <c r="A5155" s="1">
        <v>12851</v>
      </c>
      <c r="L5155" s="1" t="s">
        <v>1918</v>
      </c>
      <c r="M5155" s="1" t="s">
        <v>1618</v>
      </c>
      <c r="N5155" s="1" t="s">
        <v>2595</v>
      </c>
      <c r="P5155" s="1" t="s">
        <v>2596</v>
      </c>
      <c r="Q5155" s="3">
        <v>0</v>
      </c>
      <c r="S5155" s="23" t="s">
        <v>5949</v>
      </c>
      <c r="W5155" s="45" t="str">
        <f>HYPERLINK("http://ictvonline.org/taxonomy/p/taxonomy-history?taxnode_id=201854279","ICTVonline=201854279")</f>
        <v>ICTVonline=201854279</v>
      </c>
      <c r="AA5155" s="1">
        <v>201850000</v>
      </c>
      <c r="AB5155" s="1">
        <v>34</v>
      </c>
    </row>
    <row r="5156" spans="1:28" x14ac:dyDescent="0.15">
      <c r="A5156" s="1">
        <v>12853</v>
      </c>
      <c r="L5156" s="1" t="s">
        <v>1918</v>
      </c>
      <c r="M5156" s="1" t="s">
        <v>1618</v>
      </c>
      <c r="N5156" s="1" t="s">
        <v>2595</v>
      </c>
      <c r="P5156" s="1" t="s">
        <v>2597</v>
      </c>
      <c r="Q5156" s="3">
        <v>1</v>
      </c>
      <c r="S5156" s="23" t="s">
        <v>5949</v>
      </c>
      <c r="W5156" s="45" t="str">
        <f>HYPERLINK("http://ictvonline.org/taxonomy/p/taxonomy-history?taxnode_id=201854280","ICTVonline=201854280")</f>
        <v>ICTVonline=201854280</v>
      </c>
      <c r="AA5156" s="1">
        <v>201850000</v>
      </c>
      <c r="AB5156" s="1">
        <v>34</v>
      </c>
    </row>
    <row r="5157" spans="1:28" x14ac:dyDescent="0.15">
      <c r="A5157" s="1">
        <v>12855</v>
      </c>
      <c r="L5157" s="1" t="s">
        <v>1918</v>
      </c>
      <c r="M5157" s="1" t="s">
        <v>1618</v>
      </c>
      <c r="N5157" s="1" t="s">
        <v>2595</v>
      </c>
      <c r="P5157" s="1" t="s">
        <v>2598</v>
      </c>
      <c r="Q5157" s="3">
        <v>0</v>
      </c>
      <c r="S5157" s="23" t="s">
        <v>5949</v>
      </c>
      <c r="W5157" s="45" t="str">
        <f>HYPERLINK("http://ictvonline.org/taxonomy/p/taxonomy-history?taxnode_id=201854281","ICTVonline=201854281")</f>
        <v>ICTVonline=201854281</v>
      </c>
      <c r="AA5157" s="1">
        <v>201850000</v>
      </c>
      <c r="AB5157" s="1">
        <v>34</v>
      </c>
    </row>
    <row r="5158" spans="1:28" x14ac:dyDescent="0.15">
      <c r="A5158" s="1">
        <v>12857</v>
      </c>
      <c r="L5158" s="1" t="s">
        <v>1918</v>
      </c>
      <c r="M5158" s="1" t="s">
        <v>1618</v>
      </c>
      <c r="N5158" s="1" t="s">
        <v>2595</v>
      </c>
      <c r="P5158" s="1" t="s">
        <v>2599</v>
      </c>
      <c r="Q5158" s="3">
        <v>0</v>
      </c>
      <c r="S5158" s="23" t="s">
        <v>5949</v>
      </c>
      <c r="W5158" s="45" t="str">
        <f>HYPERLINK("http://ictvonline.org/taxonomy/p/taxonomy-history?taxnode_id=201854282","ICTVonline=201854282")</f>
        <v>ICTVonline=201854282</v>
      </c>
      <c r="AA5158" s="1">
        <v>201850000</v>
      </c>
      <c r="AB5158" s="1">
        <v>34</v>
      </c>
    </row>
    <row r="5159" spans="1:28" x14ac:dyDescent="0.15">
      <c r="A5159" s="1">
        <v>12859</v>
      </c>
      <c r="L5159" s="1" t="s">
        <v>1918</v>
      </c>
      <c r="M5159" s="1" t="s">
        <v>1618</v>
      </c>
      <c r="N5159" s="1" t="s">
        <v>2595</v>
      </c>
      <c r="P5159" s="1" t="s">
        <v>2600</v>
      </c>
      <c r="Q5159" s="3">
        <v>0</v>
      </c>
      <c r="S5159" s="23" t="s">
        <v>5949</v>
      </c>
      <c r="W5159" s="45" t="str">
        <f>HYPERLINK("http://ictvonline.org/taxonomy/p/taxonomy-history?taxnode_id=201854283","ICTVonline=201854283")</f>
        <v>ICTVonline=201854283</v>
      </c>
      <c r="AA5159" s="1">
        <v>201850000</v>
      </c>
      <c r="AB5159" s="1">
        <v>34</v>
      </c>
    </row>
    <row r="5160" spans="1:28" x14ac:dyDescent="0.15">
      <c r="A5160" s="1">
        <v>12861</v>
      </c>
      <c r="L5160" s="1" t="s">
        <v>1918</v>
      </c>
      <c r="M5160" s="1" t="s">
        <v>1618</v>
      </c>
      <c r="N5160" s="1" t="s">
        <v>2595</v>
      </c>
      <c r="P5160" s="1" t="s">
        <v>2601</v>
      </c>
      <c r="Q5160" s="3">
        <v>0</v>
      </c>
      <c r="S5160" s="23" t="s">
        <v>5949</v>
      </c>
      <c r="W5160" s="45" t="str">
        <f>HYPERLINK("http://ictvonline.org/taxonomy/p/taxonomy-history?taxnode_id=201854284","ICTVonline=201854284")</f>
        <v>ICTVonline=201854284</v>
      </c>
      <c r="AA5160" s="1">
        <v>201850000</v>
      </c>
      <c r="AB5160" s="1">
        <v>34</v>
      </c>
    </row>
    <row r="5161" spans="1:28" x14ac:dyDescent="0.15">
      <c r="A5161" s="1">
        <v>12868</v>
      </c>
      <c r="L5161" s="1" t="s">
        <v>1351</v>
      </c>
      <c r="N5161" s="1" t="s">
        <v>1352</v>
      </c>
      <c r="P5161" s="1" t="s">
        <v>191</v>
      </c>
      <c r="Q5161" s="3">
        <v>0</v>
      </c>
      <c r="S5161" s="23" t="s">
        <v>5949</v>
      </c>
      <c r="W5161" s="45" t="str">
        <f>HYPERLINK("http://ictvonline.org/taxonomy/p/taxonomy-history?taxnode_id=201854293","ICTVonline=201854293")</f>
        <v>ICTVonline=201854293</v>
      </c>
      <c r="AA5161" s="1">
        <v>201850000</v>
      </c>
      <c r="AB5161" s="1">
        <v>34</v>
      </c>
    </row>
    <row r="5162" spans="1:28" x14ac:dyDescent="0.15">
      <c r="A5162" s="1">
        <v>12870</v>
      </c>
      <c r="L5162" s="1" t="s">
        <v>1351</v>
      </c>
      <c r="N5162" s="1" t="s">
        <v>1352</v>
      </c>
      <c r="P5162" s="1" t="s">
        <v>1353</v>
      </c>
      <c r="Q5162" s="3">
        <v>0</v>
      </c>
      <c r="S5162" s="23" t="s">
        <v>5949</v>
      </c>
      <c r="W5162" s="45" t="str">
        <f>HYPERLINK("http://ictvonline.org/taxonomy/p/taxonomy-history?taxnode_id=201854294","ICTVonline=201854294")</f>
        <v>ICTVonline=201854294</v>
      </c>
      <c r="AA5162" s="1">
        <v>201850000</v>
      </c>
      <c r="AB5162" s="1">
        <v>34</v>
      </c>
    </row>
    <row r="5163" spans="1:28" x14ac:dyDescent="0.15">
      <c r="A5163" s="1">
        <v>12872</v>
      </c>
      <c r="L5163" s="1" t="s">
        <v>1351</v>
      </c>
      <c r="N5163" s="1" t="s">
        <v>1352</v>
      </c>
      <c r="P5163" s="1" t="s">
        <v>1354</v>
      </c>
      <c r="Q5163" s="3">
        <v>1</v>
      </c>
      <c r="S5163" s="23" t="s">
        <v>5949</v>
      </c>
      <c r="W5163" s="45" t="str">
        <f>HYPERLINK("http://ictvonline.org/taxonomy/p/taxonomy-history?taxnode_id=201854295","ICTVonline=201854295")</f>
        <v>ICTVonline=201854295</v>
      </c>
      <c r="AA5163" s="1">
        <v>201850000</v>
      </c>
      <c r="AB5163" s="1">
        <v>34</v>
      </c>
    </row>
    <row r="5164" spans="1:28" x14ac:dyDescent="0.15">
      <c r="A5164" s="1">
        <v>12874</v>
      </c>
      <c r="L5164" s="1" t="s">
        <v>1351</v>
      </c>
      <c r="N5164" s="1" t="s">
        <v>1352</v>
      </c>
      <c r="P5164" s="1" t="s">
        <v>1355</v>
      </c>
      <c r="Q5164" s="3">
        <v>0</v>
      </c>
      <c r="S5164" s="23" t="s">
        <v>5949</v>
      </c>
      <c r="W5164" s="45" t="str">
        <f>HYPERLINK("http://ictvonline.org/taxonomy/p/taxonomy-history?taxnode_id=201854296","ICTVonline=201854296")</f>
        <v>ICTVonline=201854296</v>
      </c>
      <c r="AA5164" s="1">
        <v>201850000</v>
      </c>
      <c r="AB5164" s="1">
        <v>34</v>
      </c>
    </row>
    <row r="5165" spans="1:28" x14ac:dyDescent="0.15">
      <c r="A5165" s="1">
        <v>12876</v>
      </c>
      <c r="L5165" s="1" t="s">
        <v>1351</v>
      </c>
      <c r="N5165" s="1" t="s">
        <v>1352</v>
      </c>
      <c r="P5165" s="1" t="s">
        <v>1356</v>
      </c>
      <c r="Q5165" s="3">
        <v>0</v>
      </c>
      <c r="S5165" s="23" t="s">
        <v>5949</v>
      </c>
      <c r="W5165" s="45" t="str">
        <f>HYPERLINK("http://ictvonline.org/taxonomy/p/taxonomy-history?taxnode_id=201854297","ICTVonline=201854297")</f>
        <v>ICTVonline=201854297</v>
      </c>
      <c r="AA5165" s="1">
        <v>201850000</v>
      </c>
      <c r="AB5165" s="1">
        <v>34</v>
      </c>
    </row>
    <row r="5166" spans="1:28" x14ac:dyDescent="0.15">
      <c r="A5166" s="1">
        <v>12878</v>
      </c>
      <c r="L5166" s="1" t="s">
        <v>1351</v>
      </c>
      <c r="N5166" s="1" t="s">
        <v>1352</v>
      </c>
      <c r="P5166" s="1" t="s">
        <v>998</v>
      </c>
      <c r="Q5166" s="3">
        <v>0</v>
      </c>
      <c r="S5166" s="23" t="s">
        <v>5949</v>
      </c>
      <c r="W5166" s="45" t="str">
        <f>HYPERLINK("http://ictvonline.org/taxonomy/p/taxonomy-history?taxnode_id=201854298","ICTVonline=201854298")</f>
        <v>ICTVonline=201854298</v>
      </c>
      <c r="AA5166" s="1">
        <v>201850000</v>
      </c>
      <c r="AB5166" s="1">
        <v>34</v>
      </c>
    </row>
    <row r="5167" spans="1:28" x14ac:dyDescent="0.15">
      <c r="A5167" s="1">
        <v>12880</v>
      </c>
      <c r="L5167" s="1" t="s">
        <v>1351</v>
      </c>
      <c r="N5167" s="1" t="s">
        <v>1352</v>
      </c>
      <c r="P5167" s="1" t="s">
        <v>999</v>
      </c>
      <c r="Q5167" s="3">
        <v>0</v>
      </c>
      <c r="S5167" s="23" t="s">
        <v>5949</v>
      </c>
      <c r="W5167" s="45" t="str">
        <f>HYPERLINK("http://ictvonline.org/taxonomy/p/taxonomy-history?taxnode_id=201854299","ICTVonline=201854299")</f>
        <v>ICTVonline=201854299</v>
      </c>
      <c r="AA5167" s="1">
        <v>201850000</v>
      </c>
      <c r="AB5167" s="1">
        <v>34</v>
      </c>
    </row>
    <row r="5168" spans="1:28" x14ac:dyDescent="0.15">
      <c r="A5168" s="1">
        <v>12882</v>
      </c>
      <c r="L5168" s="1" t="s">
        <v>1351</v>
      </c>
      <c r="N5168" s="1" t="s">
        <v>1352</v>
      </c>
      <c r="P5168" s="1" t="s">
        <v>656</v>
      </c>
      <c r="Q5168" s="3">
        <v>0</v>
      </c>
      <c r="S5168" s="23" t="s">
        <v>5949</v>
      </c>
      <c r="W5168" s="45" t="str">
        <f>HYPERLINK("http://ictvonline.org/taxonomy/p/taxonomy-history?taxnode_id=201854300","ICTVonline=201854300")</f>
        <v>ICTVonline=201854300</v>
      </c>
      <c r="AA5168" s="1">
        <v>201850000</v>
      </c>
      <c r="AB5168" s="1">
        <v>34</v>
      </c>
    </row>
    <row r="5169" spans="1:28" x14ac:dyDescent="0.15">
      <c r="A5169" s="1">
        <v>12884</v>
      </c>
      <c r="L5169" s="1" t="s">
        <v>1351</v>
      </c>
      <c r="N5169" s="1" t="s">
        <v>1352</v>
      </c>
      <c r="P5169" s="1" t="s">
        <v>657</v>
      </c>
      <c r="Q5169" s="3">
        <v>0</v>
      </c>
      <c r="S5169" s="23" t="s">
        <v>5949</v>
      </c>
      <c r="W5169" s="45" t="str">
        <f>HYPERLINK("http://ictvonline.org/taxonomy/p/taxonomy-history?taxnode_id=201854301","ICTVonline=201854301")</f>
        <v>ICTVonline=201854301</v>
      </c>
      <c r="AA5169" s="1">
        <v>201850000</v>
      </c>
      <c r="AB5169" s="1">
        <v>34</v>
      </c>
    </row>
    <row r="5170" spans="1:28" x14ac:dyDescent="0.15">
      <c r="A5170" s="1">
        <v>12886</v>
      </c>
      <c r="L5170" s="1" t="s">
        <v>1351</v>
      </c>
      <c r="N5170" s="1" t="s">
        <v>1352</v>
      </c>
      <c r="P5170" s="1" t="s">
        <v>658</v>
      </c>
      <c r="Q5170" s="3">
        <v>0</v>
      </c>
      <c r="S5170" s="23" t="s">
        <v>5949</v>
      </c>
      <c r="W5170" s="45" t="str">
        <f>HYPERLINK("http://ictvonline.org/taxonomy/p/taxonomy-history?taxnode_id=201854302","ICTVonline=201854302")</f>
        <v>ICTVonline=201854302</v>
      </c>
      <c r="AA5170" s="1">
        <v>201850000</v>
      </c>
      <c r="AB5170" s="1">
        <v>34</v>
      </c>
    </row>
    <row r="5171" spans="1:28" x14ac:dyDescent="0.15">
      <c r="A5171" s="1">
        <v>12888</v>
      </c>
      <c r="L5171" s="1" t="s">
        <v>1351</v>
      </c>
      <c r="N5171" s="1" t="s">
        <v>1352</v>
      </c>
      <c r="P5171" s="1" t="s">
        <v>832</v>
      </c>
      <c r="Q5171" s="3">
        <v>0</v>
      </c>
      <c r="S5171" s="23" t="s">
        <v>5949</v>
      </c>
      <c r="W5171" s="45" t="str">
        <f>HYPERLINK("http://ictvonline.org/taxonomy/p/taxonomy-history?taxnode_id=201854303","ICTVonline=201854303")</f>
        <v>ICTVonline=201854303</v>
      </c>
      <c r="AA5171" s="1">
        <v>201850000</v>
      </c>
      <c r="AB5171" s="1">
        <v>34</v>
      </c>
    </row>
    <row r="5172" spans="1:28" x14ac:dyDescent="0.15">
      <c r="A5172" s="1">
        <v>12890</v>
      </c>
      <c r="L5172" s="1" t="s">
        <v>1351</v>
      </c>
      <c r="N5172" s="1" t="s">
        <v>1352</v>
      </c>
      <c r="P5172" s="1" t="s">
        <v>1852</v>
      </c>
      <c r="Q5172" s="3">
        <v>0</v>
      </c>
      <c r="S5172" s="23" t="s">
        <v>5949</v>
      </c>
      <c r="W5172" s="45" t="str">
        <f>HYPERLINK("http://ictvonline.org/taxonomy/p/taxonomy-history?taxnode_id=201854304","ICTVonline=201854304")</f>
        <v>ICTVonline=201854304</v>
      </c>
      <c r="AA5172" s="1">
        <v>201850000</v>
      </c>
      <c r="AB5172" s="1">
        <v>34</v>
      </c>
    </row>
    <row r="5173" spans="1:28" x14ac:dyDescent="0.15">
      <c r="A5173" s="1">
        <v>12892</v>
      </c>
      <c r="L5173" s="1" t="s">
        <v>1351</v>
      </c>
      <c r="N5173" s="1" t="s">
        <v>1352</v>
      </c>
      <c r="P5173" s="1" t="s">
        <v>1853</v>
      </c>
      <c r="Q5173" s="3">
        <v>0</v>
      </c>
      <c r="S5173" s="23" t="s">
        <v>5949</v>
      </c>
      <c r="W5173" s="45" t="str">
        <f>HYPERLINK("http://ictvonline.org/taxonomy/p/taxonomy-history?taxnode_id=201854305","ICTVonline=201854305")</f>
        <v>ICTVonline=201854305</v>
      </c>
      <c r="AA5173" s="1">
        <v>201850000</v>
      </c>
      <c r="AB5173" s="1">
        <v>34</v>
      </c>
    </row>
    <row r="5174" spans="1:28" x14ac:dyDescent="0.15">
      <c r="A5174" s="1">
        <v>12894</v>
      </c>
      <c r="L5174" s="1" t="s">
        <v>1351</v>
      </c>
      <c r="N5174" s="1" t="s">
        <v>1352</v>
      </c>
      <c r="P5174" s="1" t="s">
        <v>1854</v>
      </c>
      <c r="Q5174" s="3">
        <v>0</v>
      </c>
      <c r="S5174" s="23" t="s">
        <v>5949</v>
      </c>
      <c r="W5174" s="45" t="str">
        <f>HYPERLINK("http://ictvonline.org/taxonomy/p/taxonomy-history?taxnode_id=201854306","ICTVonline=201854306")</f>
        <v>ICTVonline=201854306</v>
      </c>
      <c r="AA5174" s="1">
        <v>201850000</v>
      </c>
      <c r="AB5174" s="1">
        <v>34</v>
      </c>
    </row>
    <row r="5175" spans="1:28" x14ac:dyDescent="0.15">
      <c r="A5175" s="1">
        <v>12896</v>
      </c>
      <c r="L5175" s="1" t="s">
        <v>1351</v>
      </c>
      <c r="N5175" s="1" t="s">
        <v>1352</v>
      </c>
      <c r="P5175" s="1" t="s">
        <v>836</v>
      </c>
      <c r="Q5175" s="3">
        <v>0</v>
      </c>
      <c r="S5175" s="23" t="s">
        <v>5949</v>
      </c>
      <c r="W5175" s="45" t="str">
        <f>HYPERLINK("http://ictvonline.org/taxonomy/p/taxonomy-history?taxnode_id=201854307","ICTVonline=201854307")</f>
        <v>ICTVonline=201854307</v>
      </c>
      <c r="AA5175" s="1">
        <v>201850000</v>
      </c>
      <c r="AB5175" s="1">
        <v>34</v>
      </c>
    </row>
    <row r="5176" spans="1:28" x14ac:dyDescent="0.15">
      <c r="A5176" s="1">
        <v>12898</v>
      </c>
      <c r="L5176" s="1" t="s">
        <v>1351</v>
      </c>
      <c r="N5176" s="1" t="s">
        <v>1352</v>
      </c>
      <c r="P5176" s="1" t="s">
        <v>837</v>
      </c>
      <c r="Q5176" s="3">
        <v>0</v>
      </c>
      <c r="S5176" s="23" t="s">
        <v>5949</v>
      </c>
      <c r="W5176" s="45" t="str">
        <f>HYPERLINK("http://ictvonline.org/taxonomy/p/taxonomy-history?taxnode_id=201854308","ICTVonline=201854308")</f>
        <v>ICTVonline=201854308</v>
      </c>
      <c r="AA5176" s="1">
        <v>201850000</v>
      </c>
      <c r="AB5176" s="1">
        <v>34</v>
      </c>
    </row>
    <row r="5177" spans="1:28" x14ac:dyDescent="0.15">
      <c r="A5177" s="1">
        <v>12900</v>
      </c>
      <c r="L5177" s="1" t="s">
        <v>1351</v>
      </c>
      <c r="N5177" s="1" t="s">
        <v>1352</v>
      </c>
      <c r="P5177" s="1" t="s">
        <v>1858</v>
      </c>
      <c r="Q5177" s="3">
        <v>0</v>
      </c>
      <c r="S5177" s="23" t="s">
        <v>5949</v>
      </c>
      <c r="W5177" s="45" t="str">
        <f>HYPERLINK("http://ictvonline.org/taxonomy/p/taxonomy-history?taxnode_id=201854309","ICTVonline=201854309")</f>
        <v>ICTVonline=201854309</v>
      </c>
      <c r="AA5177" s="1">
        <v>201850000</v>
      </c>
      <c r="AB5177" s="1">
        <v>34</v>
      </c>
    </row>
    <row r="5178" spans="1:28" x14ac:dyDescent="0.15">
      <c r="A5178" s="1">
        <v>12902</v>
      </c>
      <c r="L5178" s="1" t="s">
        <v>1351</v>
      </c>
      <c r="N5178" s="1" t="s">
        <v>1352</v>
      </c>
      <c r="P5178" s="1" t="s">
        <v>833</v>
      </c>
      <c r="Q5178" s="3">
        <v>0</v>
      </c>
      <c r="S5178" s="23" t="s">
        <v>5949</v>
      </c>
      <c r="W5178" s="45" t="str">
        <f>HYPERLINK("http://ictvonline.org/taxonomy/p/taxonomy-history?taxnode_id=201854310","ICTVonline=201854310")</f>
        <v>ICTVonline=201854310</v>
      </c>
      <c r="AA5178" s="1">
        <v>201850000</v>
      </c>
      <c r="AB5178" s="1">
        <v>34</v>
      </c>
    </row>
    <row r="5179" spans="1:28" x14ac:dyDescent="0.15">
      <c r="A5179" s="1">
        <v>12904</v>
      </c>
      <c r="L5179" s="1" t="s">
        <v>1351</v>
      </c>
      <c r="N5179" s="1" t="s">
        <v>1352</v>
      </c>
      <c r="P5179" s="1" t="s">
        <v>834</v>
      </c>
      <c r="Q5179" s="3">
        <v>0</v>
      </c>
      <c r="S5179" s="23" t="s">
        <v>5949</v>
      </c>
      <c r="W5179" s="45" t="str">
        <f>HYPERLINK("http://ictvonline.org/taxonomy/p/taxonomy-history?taxnode_id=201854311","ICTVonline=201854311")</f>
        <v>ICTVonline=201854311</v>
      </c>
      <c r="AA5179" s="1">
        <v>201850000</v>
      </c>
      <c r="AB5179" s="1">
        <v>34</v>
      </c>
    </row>
    <row r="5180" spans="1:28" x14ac:dyDescent="0.15">
      <c r="A5180" s="1">
        <v>12908</v>
      </c>
      <c r="L5180" s="1" t="s">
        <v>1351</v>
      </c>
      <c r="N5180" s="1" t="s">
        <v>835</v>
      </c>
      <c r="P5180" s="1" t="s">
        <v>912</v>
      </c>
      <c r="Q5180" s="3">
        <v>1</v>
      </c>
      <c r="S5180" s="23" t="s">
        <v>5949</v>
      </c>
      <c r="W5180" s="45" t="str">
        <f>HYPERLINK("http://ictvonline.org/taxonomy/p/taxonomy-history?taxnode_id=201854313","ICTVonline=201854313")</f>
        <v>ICTVonline=201854313</v>
      </c>
      <c r="AA5180" s="1">
        <v>201850000</v>
      </c>
      <c r="AB5180" s="1">
        <v>34</v>
      </c>
    </row>
    <row r="5181" spans="1:28" x14ac:dyDescent="0.15">
      <c r="A5181" s="1">
        <v>12912</v>
      </c>
      <c r="L5181" s="1" t="s">
        <v>1351</v>
      </c>
      <c r="N5181" s="1" t="s">
        <v>913</v>
      </c>
      <c r="P5181" s="1" t="s">
        <v>914</v>
      </c>
      <c r="Q5181" s="3">
        <v>0</v>
      </c>
      <c r="S5181" s="23" t="s">
        <v>5949</v>
      </c>
      <c r="W5181" s="45" t="str">
        <f>HYPERLINK("http://ictvonline.org/taxonomy/p/taxonomy-history?taxnode_id=201854315","ICTVonline=201854315")</f>
        <v>ICTVonline=201854315</v>
      </c>
      <c r="AA5181" s="1">
        <v>201850000</v>
      </c>
      <c r="AB5181" s="1">
        <v>34</v>
      </c>
    </row>
    <row r="5182" spans="1:28" x14ac:dyDescent="0.15">
      <c r="A5182" s="1">
        <v>12914</v>
      </c>
      <c r="L5182" s="1" t="s">
        <v>1351</v>
      </c>
      <c r="N5182" s="1" t="s">
        <v>913</v>
      </c>
      <c r="P5182" s="1" t="s">
        <v>930</v>
      </c>
      <c r="Q5182" s="3">
        <v>1</v>
      </c>
      <c r="S5182" s="23" t="s">
        <v>5949</v>
      </c>
      <c r="W5182" s="45" t="str">
        <f>HYPERLINK("http://ictvonline.org/taxonomy/p/taxonomy-history?taxnode_id=201854316","ICTVonline=201854316")</f>
        <v>ICTVonline=201854316</v>
      </c>
      <c r="AA5182" s="1">
        <v>201850000</v>
      </c>
      <c r="AB5182" s="1">
        <v>34</v>
      </c>
    </row>
    <row r="5183" spans="1:28" x14ac:dyDescent="0.15">
      <c r="A5183" s="1">
        <v>12916</v>
      </c>
      <c r="L5183" s="1" t="s">
        <v>1351</v>
      </c>
      <c r="N5183" s="1" t="s">
        <v>913</v>
      </c>
      <c r="P5183" s="1" t="s">
        <v>931</v>
      </c>
      <c r="Q5183" s="3">
        <v>0</v>
      </c>
      <c r="S5183" s="23" t="s">
        <v>5949</v>
      </c>
      <c r="W5183" s="45" t="str">
        <f>HYPERLINK("http://ictvonline.org/taxonomy/p/taxonomy-history?taxnode_id=201854317","ICTVonline=201854317")</f>
        <v>ICTVonline=201854317</v>
      </c>
      <c r="AA5183" s="1">
        <v>201850000</v>
      </c>
      <c r="AB5183" s="1">
        <v>34</v>
      </c>
    </row>
    <row r="5184" spans="1:28" x14ac:dyDescent="0.15">
      <c r="A5184" s="1">
        <v>12918</v>
      </c>
      <c r="L5184" s="1" t="s">
        <v>1351</v>
      </c>
      <c r="N5184" s="1" t="s">
        <v>913</v>
      </c>
      <c r="P5184" s="1" t="s">
        <v>932</v>
      </c>
      <c r="Q5184" s="3">
        <v>0</v>
      </c>
      <c r="S5184" s="23" t="s">
        <v>5949</v>
      </c>
      <c r="W5184" s="45" t="str">
        <f>HYPERLINK("http://ictvonline.org/taxonomy/p/taxonomy-history?taxnode_id=201854318","ICTVonline=201854318")</f>
        <v>ICTVonline=201854318</v>
      </c>
      <c r="AA5184" s="1">
        <v>201850000</v>
      </c>
      <c r="AB5184" s="1">
        <v>34</v>
      </c>
    </row>
    <row r="5185" spans="1:28" x14ac:dyDescent="0.15">
      <c r="A5185" s="1">
        <v>12920</v>
      </c>
      <c r="L5185" s="1" t="s">
        <v>1351</v>
      </c>
      <c r="N5185" s="1" t="s">
        <v>913</v>
      </c>
      <c r="P5185" s="1" t="s">
        <v>933</v>
      </c>
      <c r="Q5185" s="3">
        <v>0</v>
      </c>
      <c r="S5185" s="23" t="s">
        <v>5949</v>
      </c>
      <c r="W5185" s="45" t="str">
        <f>HYPERLINK("http://ictvonline.org/taxonomy/p/taxonomy-history?taxnode_id=201854319","ICTVonline=201854319")</f>
        <v>ICTVonline=201854319</v>
      </c>
      <c r="AA5185" s="1">
        <v>201850000</v>
      </c>
      <c r="AB5185" s="1">
        <v>34</v>
      </c>
    </row>
    <row r="5186" spans="1:28" x14ac:dyDescent="0.15">
      <c r="A5186" s="1">
        <v>12922</v>
      </c>
      <c r="L5186" s="1" t="s">
        <v>1351</v>
      </c>
      <c r="N5186" s="1" t="s">
        <v>913</v>
      </c>
      <c r="P5186" s="1" t="s">
        <v>934</v>
      </c>
      <c r="Q5186" s="3">
        <v>0</v>
      </c>
      <c r="S5186" s="23" t="s">
        <v>5949</v>
      </c>
      <c r="W5186" s="45" t="str">
        <f>HYPERLINK("http://ictvonline.org/taxonomy/p/taxonomy-history?taxnode_id=201854320","ICTVonline=201854320")</f>
        <v>ICTVonline=201854320</v>
      </c>
      <c r="AA5186" s="1">
        <v>201850000</v>
      </c>
      <c r="AB5186" s="1">
        <v>34</v>
      </c>
    </row>
    <row r="5187" spans="1:28" x14ac:dyDescent="0.15">
      <c r="A5187" s="1">
        <v>12924</v>
      </c>
      <c r="L5187" s="1" t="s">
        <v>1351</v>
      </c>
      <c r="N5187" s="1" t="s">
        <v>913</v>
      </c>
      <c r="P5187" s="1" t="s">
        <v>935</v>
      </c>
      <c r="Q5187" s="3">
        <v>0</v>
      </c>
      <c r="S5187" s="23" t="s">
        <v>5949</v>
      </c>
      <c r="W5187" s="45" t="str">
        <f>HYPERLINK("http://ictvonline.org/taxonomy/p/taxonomy-history?taxnode_id=201854321","ICTVonline=201854321")</f>
        <v>ICTVonline=201854321</v>
      </c>
      <c r="AA5187" s="1">
        <v>201850000</v>
      </c>
      <c r="AB5187" s="1">
        <v>34</v>
      </c>
    </row>
    <row r="5188" spans="1:28" x14ac:dyDescent="0.15">
      <c r="A5188" s="1">
        <v>12926</v>
      </c>
      <c r="L5188" s="1" t="s">
        <v>1351</v>
      </c>
      <c r="N5188" s="1" t="s">
        <v>913</v>
      </c>
      <c r="P5188" s="1" t="s">
        <v>936</v>
      </c>
      <c r="Q5188" s="3">
        <v>0</v>
      </c>
      <c r="S5188" s="23" t="s">
        <v>5949</v>
      </c>
      <c r="W5188" s="45" t="str">
        <f>HYPERLINK("http://ictvonline.org/taxonomy/p/taxonomy-history?taxnode_id=201854322","ICTVonline=201854322")</f>
        <v>ICTVonline=201854322</v>
      </c>
      <c r="AA5188" s="1">
        <v>201850000</v>
      </c>
      <c r="AB5188" s="1">
        <v>34</v>
      </c>
    </row>
    <row r="5189" spans="1:28" x14ac:dyDescent="0.15">
      <c r="A5189" s="1">
        <v>12928</v>
      </c>
      <c r="L5189" s="1" t="s">
        <v>1351</v>
      </c>
      <c r="N5189" s="1" t="s">
        <v>913</v>
      </c>
      <c r="P5189" s="1" t="s">
        <v>937</v>
      </c>
      <c r="Q5189" s="3">
        <v>0</v>
      </c>
      <c r="S5189" s="23" t="s">
        <v>5949</v>
      </c>
      <c r="W5189" s="45" t="str">
        <f>HYPERLINK("http://ictvonline.org/taxonomy/p/taxonomy-history?taxnode_id=201854323","ICTVonline=201854323")</f>
        <v>ICTVonline=201854323</v>
      </c>
      <c r="AA5189" s="1">
        <v>201850000</v>
      </c>
      <c r="AB5189" s="1">
        <v>34</v>
      </c>
    </row>
    <row r="5190" spans="1:28" x14ac:dyDescent="0.15">
      <c r="A5190" s="1">
        <v>12932</v>
      </c>
      <c r="L5190" s="1" t="s">
        <v>1351</v>
      </c>
      <c r="N5190" s="1" t="s">
        <v>938</v>
      </c>
      <c r="P5190" s="1" t="s">
        <v>939</v>
      </c>
      <c r="Q5190" s="3">
        <v>1</v>
      </c>
      <c r="S5190" s="23" t="s">
        <v>5949</v>
      </c>
      <c r="W5190" s="45" t="str">
        <f>HYPERLINK("http://ictvonline.org/taxonomy/p/taxonomy-history?taxnode_id=201854325","ICTVonline=201854325")</f>
        <v>ICTVonline=201854325</v>
      </c>
      <c r="AA5190" s="1">
        <v>201850000</v>
      </c>
      <c r="AB5190" s="1">
        <v>34</v>
      </c>
    </row>
    <row r="5191" spans="1:28" x14ac:dyDescent="0.15">
      <c r="A5191" s="1">
        <v>12934</v>
      </c>
      <c r="L5191" s="1" t="s">
        <v>1351</v>
      </c>
      <c r="N5191" s="1" t="s">
        <v>938</v>
      </c>
      <c r="P5191" s="1" t="s">
        <v>192</v>
      </c>
      <c r="Q5191" s="3">
        <v>0</v>
      </c>
      <c r="S5191" s="23" t="s">
        <v>5949</v>
      </c>
      <c r="W5191" s="45" t="str">
        <f>HYPERLINK("http://ictvonline.org/taxonomy/p/taxonomy-history?taxnode_id=201854326","ICTVonline=201854326")</f>
        <v>ICTVonline=201854326</v>
      </c>
      <c r="AA5191" s="1">
        <v>201850000</v>
      </c>
      <c r="AB5191" s="1">
        <v>34</v>
      </c>
    </row>
    <row r="5192" spans="1:28" x14ac:dyDescent="0.15">
      <c r="A5192" s="1">
        <v>12938</v>
      </c>
      <c r="L5192" s="1" t="s">
        <v>1351</v>
      </c>
      <c r="N5192" s="1" t="s">
        <v>940</v>
      </c>
      <c r="P5192" s="1" t="s">
        <v>941</v>
      </c>
      <c r="Q5192" s="3">
        <v>1</v>
      </c>
      <c r="S5192" s="23" t="s">
        <v>5949</v>
      </c>
      <c r="W5192" s="45" t="str">
        <f>HYPERLINK("http://ictvonline.org/taxonomy/p/taxonomy-history?taxnode_id=201854328","ICTVonline=201854328")</f>
        <v>ICTVonline=201854328</v>
      </c>
      <c r="AA5192" s="1">
        <v>201850000</v>
      </c>
      <c r="AB5192" s="1">
        <v>34</v>
      </c>
    </row>
    <row r="5193" spans="1:28" x14ac:dyDescent="0.15">
      <c r="A5193" s="1">
        <v>12942</v>
      </c>
      <c r="L5193" s="1" t="s">
        <v>1351</v>
      </c>
      <c r="N5193" s="1" t="s">
        <v>942</v>
      </c>
      <c r="P5193" s="1" t="s">
        <v>943</v>
      </c>
      <c r="Q5193" s="3">
        <v>1</v>
      </c>
      <c r="S5193" s="23" t="s">
        <v>5949</v>
      </c>
      <c r="W5193" s="45" t="str">
        <f>HYPERLINK("http://ictvonline.org/taxonomy/p/taxonomy-history?taxnode_id=201854330","ICTVonline=201854330")</f>
        <v>ICTVonline=201854330</v>
      </c>
      <c r="AA5193" s="1">
        <v>201850000</v>
      </c>
      <c r="AB5193" s="1">
        <v>34</v>
      </c>
    </row>
    <row r="5194" spans="1:28" x14ac:dyDescent="0.15">
      <c r="A5194" s="1">
        <v>12948</v>
      </c>
      <c r="L5194" s="1" t="s">
        <v>948</v>
      </c>
      <c r="N5194" s="1" t="s">
        <v>949</v>
      </c>
      <c r="P5194" s="1" t="s">
        <v>3915</v>
      </c>
      <c r="Q5194" s="3">
        <v>1</v>
      </c>
      <c r="S5194" s="23" t="s">
        <v>5949</v>
      </c>
      <c r="W5194" s="45" t="str">
        <f>HYPERLINK("http://ictvonline.org/taxonomy/p/taxonomy-history?taxnode_id=201854339","ICTVonline=201854339")</f>
        <v>ICTVonline=201854339</v>
      </c>
      <c r="AA5194" s="1">
        <v>201850000</v>
      </c>
      <c r="AB5194" s="1">
        <v>34</v>
      </c>
    </row>
    <row r="5195" spans="1:28" x14ac:dyDescent="0.15">
      <c r="A5195" s="1">
        <v>12954</v>
      </c>
      <c r="L5195" s="1" t="s">
        <v>3916</v>
      </c>
      <c r="N5195" s="1" t="s">
        <v>3917</v>
      </c>
      <c r="P5195" s="1" t="s">
        <v>4991</v>
      </c>
      <c r="Q5195" s="3">
        <v>0</v>
      </c>
      <c r="S5195" s="23" t="s">
        <v>5949</v>
      </c>
      <c r="W5195" s="45" t="str">
        <f>HYPERLINK("http://ictvonline.org/taxonomy/p/taxonomy-history?taxnode_id=201854342","ICTVonline=201854342")</f>
        <v>ICTVonline=201854342</v>
      </c>
      <c r="AA5195" s="1">
        <v>201850000</v>
      </c>
      <c r="AB5195" s="1">
        <v>34</v>
      </c>
    </row>
    <row r="5196" spans="1:28" x14ac:dyDescent="0.15">
      <c r="A5196" s="1">
        <v>12956</v>
      </c>
      <c r="L5196" s="1" t="s">
        <v>3916</v>
      </c>
      <c r="N5196" s="1" t="s">
        <v>3917</v>
      </c>
      <c r="P5196" s="1" t="s">
        <v>4992</v>
      </c>
      <c r="Q5196" s="3">
        <v>0</v>
      </c>
      <c r="S5196" s="23" t="s">
        <v>5949</v>
      </c>
      <c r="W5196" s="45" t="str">
        <f>HYPERLINK("http://ictvonline.org/taxonomy/p/taxonomy-history?taxnode_id=201854343","ICTVonline=201854343")</f>
        <v>ICTVonline=201854343</v>
      </c>
      <c r="AA5196" s="1">
        <v>201850000</v>
      </c>
      <c r="AB5196" s="1">
        <v>34</v>
      </c>
    </row>
    <row r="5197" spans="1:28" x14ac:dyDescent="0.15">
      <c r="A5197" s="1">
        <v>12958</v>
      </c>
      <c r="L5197" s="1" t="s">
        <v>3916</v>
      </c>
      <c r="N5197" s="1" t="s">
        <v>3917</v>
      </c>
      <c r="P5197" s="1" t="s">
        <v>4993</v>
      </c>
      <c r="Q5197" s="3">
        <v>1</v>
      </c>
      <c r="S5197" s="23" t="s">
        <v>5949</v>
      </c>
      <c r="W5197" s="45" t="str">
        <f>HYPERLINK("http://ictvonline.org/taxonomy/p/taxonomy-history?taxnode_id=201854344","ICTVonline=201854344")</f>
        <v>ICTVonline=201854344</v>
      </c>
      <c r="AA5197" s="1">
        <v>201850000</v>
      </c>
      <c r="AB5197" s="1">
        <v>34</v>
      </c>
    </row>
    <row r="5198" spans="1:28" x14ac:dyDescent="0.15">
      <c r="A5198" s="1">
        <v>12960</v>
      </c>
      <c r="L5198" s="1" t="s">
        <v>3916</v>
      </c>
      <c r="N5198" s="1" t="s">
        <v>3917</v>
      </c>
      <c r="P5198" s="1" t="s">
        <v>4994</v>
      </c>
      <c r="Q5198" s="3">
        <v>0</v>
      </c>
      <c r="S5198" s="23" t="s">
        <v>5949</v>
      </c>
      <c r="W5198" s="45" t="str">
        <f>HYPERLINK("http://ictvonline.org/taxonomy/p/taxonomy-history?taxnode_id=201854345","ICTVonline=201854345")</f>
        <v>ICTVonline=201854345</v>
      </c>
      <c r="AA5198" s="1">
        <v>201850000</v>
      </c>
      <c r="AB5198" s="1">
        <v>34</v>
      </c>
    </row>
    <row r="5199" spans="1:28" x14ac:dyDescent="0.15">
      <c r="A5199" s="1">
        <v>12962</v>
      </c>
      <c r="L5199" s="1" t="s">
        <v>3916</v>
      </c>
      <c r="N5199" s="1" t="s">
        <v>3917</v>
      </c>
      <c r="P5199" s="1" t="s">
        <v>4995</v>
      </c>
      <c r="Q5199" s="3">
        <v>0</v>
      </c>
      <c r="S5199" s="23" t="s">
        <v>5949</v>
      </c>
      <c r="W5199" s="45" t="str">
        <f>HYPERLINK("http://ictvonline.org/taxonomy/p/taxonomy-history?taxnode_id=201854346","ICTVonline=201854346")</f>
        <v>ICTVonline=201854346</v>
      </c>
      <c r="AA5199" s="1">
        <v>201850000</v>
      </c>
      <c r="AB5199" s="1">
        <v>34</v>
      </c>
    </row>
    <row r="5200" spans="1:28" x14ac:dyDescent="0.15">
      <c r="A5200" s="1">
        <v>12966</v>
      </c>
      <c r="L5200" s="1" t="s">
        <v>3916</v>
      </c>
      <c r="N5200" s="1" t="s">
        <v>3918</v>
      </c>
      <c r="P5200" s="1" t="s">
        <v>4996</v>
      </c>
      <c r="Q5200" s="3">
        <v>0</v>
      </c>
      <c r="S5200" s="23" t="s">
        <v>5949</v>
      </c>
      <c r="W5200" s="45" t="str">
        <f>HYPERLINK("http://ictvonline.org/taxonomy/p/taxonomy-history?taxnode_id=201854348","ICTVonline=201854348")</f>
        <v>ICTVonline=201854348</v>
      </c>
      <c r="AA5200" s="1">
        <v>201850000</v>
      </c>
      <c r="AB5200" s="1">
        <v>34</v>
      </c>
    </row>
    <row r="5201" spans="1:28" x14ac:dyDescent="0.15">
      <c r="A5201" s="1">
        <v>12968</v>
      </c>
      <c r="L5201" s="1" t="s">
        <v>3916</v>
      </c>
      <c r="N5201" s="1" t="s">
        <v>3918</v>
      </c>
      <c r="P5201" s="1" t="s">
        <v>4997</v>
      </c>
      <c r="Q5201" s="3">
        <v>1</v>
      </c>
      <c r="S5201" s="23" t="s">
        <v>5949</v>
      </c>
      <c r="W5201" s="45" t="str">
        <f>HYPERLINK("http://ictvonline.org/taxonomy/p/taxonomy-history?taxnode_id=201854349","ICTVonline=201854349")</f>
        <v>ICTVonline=201854349</v>
      </c>
      <c r="AA5201" s="1">
        <v>201850000</v>
      </c>
      <c r="AB5201" s="1">
        <v>34</v>
      </c>
    </row>
    <row r="5202" spans="1:28" x14ac:dyDescent="0.15">
      <c r="A5202" s="1">
        <v>12972</v>
      </c>
      <c r="L5202" s="1" t="s">
        <v>3916</v>
      </c>
      <c r="N5202" s="1" t="s">
        <v>3919</v>
      </c>
      <c r="P5202" s="1" t="s">
        <v>3920</v>
      </c>
      <c r="Q5202" s="3">
        <v>1</v>
      </c>
      <c r="S5202" s="23" t="s">
        <v>5949</v>
      </c>
      <c r="W5202" s="45" t="str">
        <f>HYPERLINK("http://ictvonline.org/taxonomy/p/taxonomy-history?taxnode_id=201854351","ICTVonline=201854351")</f>
        <v>ICTVonline=201854351</v>
      </c>
      <c r="AA5202" s="1">
        <v>201850000</v>
      </c>
      <c r="AB5202" s="1">
        <v>34</v>
      </c>
    </row>
    <row r="5203" spans="1:28" x14ac:dyDescent="0.15">
      <c r="A5203" s="1">
        <v>12978</v>
      </c>
      <c r="L5203" s="1" t="s">
        <v>950</v>
      </c>
      <c r="N5203" s="1" t="s">
        <v>612</v>
      </c>
      <c r="P5203" s="1" t="s">
        <v>951</v>
      </c>
      <c r="Q5203" s="3">
        <v>0</v>
      </c>
      <c r="S5203" s="23" t="s">
        <v>5949</v>
      </c>
      <c r="W5203" s="45" t="str">
        <f>HYPERLINK("http://ictvonline.org/taxonomy/p/taxonomy-history?taxnode_id=201854355","ICTVonline=201854355")</f>
        <v>ICTVonline=201854355</v>
      </c>
      <c r="AA5203" s="1">
        <v>201850000</v>
      </c>
      <c r="AB5203" s="1">
        <v>34</v>
      </c>
    </row>
    <row r="5204" spans="1:28" x14ac:dyDescent="0.15">
      <c r="A5204" s="1">
        <v>12980</v>
      </c>
      <c r="L5204" s="1" t="s">
        <v>950</v>
      </c>
      <c r="N5204" s="1" t="s">
        <v>612</v>
      </c>
      <c r="P5204" s="1" t="s">
        <v>605</v>
      </c>
      <c r="Q5204" s="3">
        <v>0</v>
      </c>
      <c r="S5204" s="23" t="s">
        <v>5949</v>
      </c>
      <c r="W5204" s="45" t="str">
        <f>HYPERLINK("http://ictvonline.org/taxonomy/p/taxonomy-history?taxnode_id=201854356","ICTVonline=201854356")</f>
        <v>ICTVonline=201854356</v>
      </c>
      <c r="AA5204" s="1">
        <v>201850000</v>
      </c>
      <c r="AB5204" s="1">
        <v>34</v>
      </c>
    </row>
    <row r="5205" spans="1:28" x14ac:dyDescent="0.15">
      <c r="A5205" s="1">
        <v>12982</v>
      </c>
      <c r="L5205" s="1" t="s">
        <v>950</v>
      </c>
      <c r="N5205" s="1" t="s">
        <v>612</v>
      </c>
      <c r="P5205" s="1" t="s">
        <v>606</v>
      </c>
      <c r="Q5205" s="3">
        <v>0</v>
      </c>
      <c r="S5205" s="23" t="s">
        <v>5949</v>
      </c>
      <c r="W5205" s="45" t="str">
        <f>HYPERLINK("http://ictvonline.org/taxonomy/p/taxonomy-history?taxnode_id=201854357","ICTVonline=201854357")</f>
        <v>ICTVonline=201854357</v>
      </c>
      <c r="AA5205" s="1">
        <v>201850000</v>
      </c>
      <c r="AB5205" s="1">
        <v>34</v>
      </c>
    </row>
    <row r="5206" spans="1:28" x14ac:dyDescent="0.15">
      <c r="A5206" s="1">
        <v>12984</v>
      </c>
      <c r="L5206" s="1" t="s">
        <v>950</v>
      </c>
      <c r="N5206" s="1" t="s">
        <v>612</v>
      </c>
      <c r="P5206" s="1" t="s">
        <v>607</v>
      </c>
      <c r="Q5206" s="3">
        <v>0</v>
      </c>
      <c r="S5206" s="23" t="s">
        <v>5949</v>
      </c>
      <c r="W5206" s="45" t="str">
        <f>HYPERLINK("http://ictvonline.org/taxonomy/p/taxonomy-history?taxnode_id=201854358","ICTVonline=201854358")</f>
        <v>ICTVonline=201854358</v>
      </c>
      <c r="AA5206" s="1">
        <v>201850000</v>
      </c>
      <c r="AB5206" s="1">
        <v>34</v>
      </c>
    </row>
    <row r="5207" spans="1:28" x14ac:dyDescent="0.15">
      <c r="A5207" s="1">
        <v>12986</v>
      </c>
      <c r="L5207" s="1" t="s">
        <v>950</v>
      </c>
      <c r="N5207" s="1" t="s">
        <v>612</v>
      </c>
      <c r="P5207" s="1" t="s">
        <v>608</v>
      </c>
      <c r="Q5207" s="3">
        <v>0</v>
      </c>
      <c r="S5207" s="23" t="s">
        <v>5949</v>
      </c>
      <c r="W5207" s="45" t="str">
        <f>HYPERLINK("http://ictvonline.org/taxonomy/p/taxonomy-history?taxnode_id=201854359","ICTVonline=201854359")</f>
        <v>ICTVonline=201854359</v>
      </c>
      <c r="AA5207" s="1">
        <v>201850000</v>
      </c>
      <c r="AB5207" s="1">
        <v>34</v>
      </c>
    </row>
    <row r="5208" spans="1:28" x14ac:dyDescent="0.15">
      <c r="A5208" s="1">
        <v>12988</v>
      </c>
      <c r="L5208" s="1" t="s">
        <v>950</v>
      </c>
      <c r="N5208" s="1" t="s">
        <v>612</v>
      </c>
      <c r="P5208" s="1" t="s">
        <v>944</v>
      </c>
      <c r="Q5208" s="3">
        <v>0</v>
      </c>
      <c r="S5208" s="23" t="s">
        <v>5949</v>
      </c>
      <c r="W5208" s="45" t="str">
        <f>HYPERLINK("http://ictvonline.org/taxonomy/p/taxonomy-history?taxnode_id=201854360","ICTVonline=201854360")</f>
        <v>ICTVonline=201854360</v>
      </c>
      <c r="AA5208" s="1">
        <v>201850000</v>
      </c>
      <c r="AB5208" s="1">
        <v>34</v>
      </c>
    </row>
    <row r="5209" spans="1:28" x14ac:dyDescent="0.15">
      <c r="A5209" s="1">
        <v>12990</v>
      </c>
      <c r="L5209" s="1" t="s">
        <v>950</v>
      </c>
      <c r="N5209" s="1" t="s">
        <v>612</v>
      </c>
      <c r="P5209" s="1" t="s">
        <v>945</v>
      </c>
      <c r="Q5209" s="3">
        <v>0</v>
      </c>
      <c r="S5209" s="23" t="s">
        <v>5949</v>
      </c>
      <c r="W5209" s="45" t="str">
        <f>HYPERLINK("http://ictvonline.org/taxonomy/p/taxonomy-history?taxnode_id=201854361","ICTVonline=201854361")</f>
        <v>ICTVonline=201854361</v>
      </c>
      <c r="AA5209" s="1">
        <v>201850000</v>
      </c>
      <c r="AB5209" s="1">
        <v>34</v>
      </c>
    </row>
    <row r="5210" spans="1:28" x14ac:dyDescent="0.15">
      <c r="A5210" s="1">
        <v>12992</v>
      </c>
      <c r="L5210" s="1" t="s">
        <v>950</v>
      </c>
      <c r="N5210" s="1" t="s">
        <v>612</v>
      </c>
      <c r="P5210" s="1" t="s">
        <v>946</v>
      </c>
      <c r="Q5210" s="3">
        <v>0</v>
      </c>
      <c r="S5210" s="23" t="s">
        <v>5949</v>
      </c>
      <c r="W5210" s="45" t="str">
        <f>HYPERLINK("http://ictvonline.org/taxonomy/p/taxonomy-history?taxnode_id=201854362","ICTVonline=201854362")</f>
        <v>ICTVonline=201854362</v>
      </c>
      <c r="AA5210" s="1">
        <v>201850000</v>
      </c>
      <c r="AB5210" s="1">
        <v>34</v>
      </c>
    </row>
    <row r="5211" spans="1:28" x14ac:dyDescent="0.15">
      <c r="A5211" s="1">
        <v>12994</v>
      </c>
      <c r="L5211" s="1" t="s">
        <v>950</v>
      </c>
      <c r="N5211" s="1" t="s">
        <v>612</v>
      </c>
      <c r="P5211" s="1" t="s">
        <v>947</v>
      </c>
      <c r="Q5211" s="3">
        <v>0</v>
      </c>
      <c r="S5211" s="23" t="s">
        <v>5949</v>
      </c>
      <c r="W5211" s="45" t="str">
        <f>HYPERLINK("http://ictvonline.org/taxonomy/p/taxonomy-history?taxnode_id=201854363","ICTVonline=201854363")</f>
        <v>ICTVonline=201854363</v>
      </c>
      <c r="AA5211" s="1">
        <v>201850000</v>
      </c>
      <c r="AB5211" s="1">
        <v>34</v>
      </c>
    </row>
    <row r="5212" spans="1:28" x14ac:dyDescent="0.15">
      <c r="A5212" s="1">
        <v>12996</v>
      </c>
      <c r="L5212" s="1" t="s">
        <v>950</v>
      </c>
      <c r="N5212" s="1" t="s">
        <v>612</v>
      </c>
      <c r="P5212" s="1" t="s">
        <v>5513</v>
      </c>
      <c r="Q5212" s="3">
        <v>0</v>
      </c>
      <c r="S5212" s="23" t="s">
        <v>5949</v>
      </c>
      <c r="W5212" s="45" t="str">
        <f>HYPERLINK("http://ictvonline.org/taxonomy/p/taxonomy-history?taxnode_id=201854364","ICTVonline=201854364")</f>
        <v>ICTVonline=201854364</v>
      </c>
      <c r="AA5212" s="1">
        <v>201850000</v>
      </c>
      <c r="AB5212" s="1">
        <v>34</v>
      </c>
    </row>
    <row r="5213" spans="1:28" x14ac:dyDescent="0.15">
      <c r="A5213" s="1">
        <v>12998</v>
      </c>
      <c r="L5213" s="1" t="s">
        <v>950</v>
      </c>
      <c r="N5213" s="1" t="s">
        <v>612</v>
      </c>
      <c r="P5213" s="1" t="s">
        <v>1747</v>
      </c>
      <c r="Q5213" s="3">
        <v>0</v>
      </c>
      <c r="S5213" s="23" t="s">
        <v>5949</v>
      </c>
      <c r="W5213" s="45" t="str">
        <f>HYPERLINK("http://ictvonline.org/taxonomy/p/taxonomy-history?taxnode_id=201854365","ICTVonline=201854365")</f>
        <v>ICTVonline=201854365</v>
      </c>
      <c r="AA5213" s="1">
        <v>201850000</v>
      </c>
      <c r="AB5213" s="1">
        <v>34</v>
      </c>
    </row>
    <row r="5214" spans="1:28" x14ac:dyDescent="0.15">
      <c r="A5214" s="1">
        <v>13000</v>
      </c>
      <c r="L5214" s="1" t="s">
        <v>950</v>
      </c>
      <c r="N5214" s="1" t="s">
        <v>612</v>
      </c>
      <c r="P5214" s="1" t="s">
        <v>613</v>
      </c>
      <c r="Q5214" s="3">
        <v>0</v>
      </c>
      <c r="S5214" s="23" t="s">
        <v>5949</v>
      </c>
      <c r="W5214" s="45" t="str">
        <f>HYPERLINK("http://ictvonline.org/taxonomy/p/taxonomy-history?taxnode_id=201854366","ICTVonline=201854366")</f>
        <v>ICTVonline=201854366</v>
      </c>
      <c r="AA5214" s="1">
        <v>201850000</v>
      </c>
      <c r="AB5214" s="1">
        <v>34</v>
      </c>
    </row>
    <row r="5215" spans="1:28" x14ac:dyDescent="0.15">
      <c r="A5215" s="1">
        <v>13002</v>
      </c>
      <c r="L5215" s="1" t="s">
        <v>950</v>
      </c>
      <c r="N5215" s="1" t="s">
        <v>612</v>
      </c>
      <c r="P5215" s="1" t="s">
        <v>614</v>
      </c>
      <c r="Q5215" s="3">
        <v>0</v>
      </c>
      <c r="S5215" s="23" t="s">
        <v>5949</v>
      </c>
      <c r="W5215" s="45" t="str">
        <f>HYPERLINK("http://ictvonline.org/taxonomy/p/taxonomy-history?taxnode_id=201854367","ICTVonline=201854367")</f>
        <v>ICTVonline=201854367</v>
      </c>
      <c r="AA5215" s="1">
        <v>201850000</v>
      </c>
      <c r="AB5215" s="1">
        <v>34</v>
      </c>
    </row>
    <row r="5216" spans="1:28" x14ac:dyDescent="0.15">
      <c r="A5216" s="1">
        <v>13004</v>
      </c>
      <c r="L5216" s="1" t="s">
        <v>950</v>
      </c>
      <c r="N5216" s="1" t="s">
        <v>612</v>
      </c>
      <c r="P5216" s="1" t="s">
        <v>1743</v>
      </c>
      <c r="Q5216" s="3">
        <v>0</v>
      </c>
      <c r="S5216" s="23" t="s">
        <v>5949</v>
      </c>
      <c r="W5216" s="45" t="str">
        <f>HYPERLINK("http://ictvonline.org/taxonomy/p/taxonomy-history?taxnode_id=201854368","ICTVonline=201854368")</f>
        <v>ICTVonline=201854368</v>
      </c>
      <c r="AA5216" s="1">
        <v>201850000</v>
      </c>
      <c r="AB5216" s="1">
        <v>34</v>
      </c>
    </row>
    <row r="5217" spans="1:28" x14ac:dyDescent="0.15">
      <c r="A5217" s="1">
        <v>13006</v>
      </c>
      <c r="L5217" s="1" t="s">
        <v>950</v>
      </c>
      <c r="N5217" s="1" t="s">
        <v>612</v>
      </c>
      <c r="P5217" s="1" t="s">
        <v>1744</v>
      </c>
      <c r="Q5217" s="3">
        <v>0</v>
      </c>
      <c r="S5217" s="23" t="s">
        <v>5949</v>
      </c>
      <c r="W5217" s="45" t="str">
        <f>HYPERLINK("http://ictvonline.org/taxonomy/p/taxonomy-history?taxnode_id=201854369","ICTVonline=201854369")</f>
        <v>ICTVonline=201854369</v>
      </c>
      <c r="AA5217" s="1">
        <v>201850000</v>
      </c>
      <c r="AB5217" s="1">
        <v>34</v>
      </c>
    </row>
    <row r="5218" spans="1:28" x14ac:dyDescent="0.15">
      <c r="A5218" s="1">
        <v>13008</v>
      </c>
      <c r="L5218" s="1" t="s">
        <v>950</v>
      </c>
      <c r="N5218" s="1" t="s">
        <v>612</v>
      </c>
      <c r="P5218" s="1" t="s">
        <v>1745</v>
      </c>
      <c r="Q5218" s="3">
        <v>0</v>
      </c>
      <c r="S5218" s="23" t="s">
        <v>5949</v>
      </c>
      <c r="W5218" s="45" t="str">
        <f>HYPERLINK("http://ictvonline.org/taxonomy/p/taxonomy-history?taxnode_id=201854370","ICTVonline=201854370")</f>
        <v>ICTVonline=201854370</v>
      </c>
      <c r="AA5218" s="1">
        <v>201850000</v>
      </c>
      <c r="AB5218" s="1">
        <v>34</v>
      </c>
    </row>
    <row r="5219" spans="1:28" x14ac:dyDescent="0.15">
      <c r="A5219" s="1">
        <v>13010</v>
      </c>
      <c r="L5219" s="1" t="s">
        <v>950</v>
      </c>
      <c r="N5219" s="1" t="s">
        <v>612</v>
      </c>
      <c r="P5219" s="1" t="s">
        <v>609</v>
      </c>
      <c r="Q5219" s="3">
        <v>0</v>
      </c>
      <c r="S5219" s="23" t="s">
        <v>5949</v>
      </c>
      <c r="W5219" s="45" t="str">
        <f>HYPERLINK("http://ictvonline.org/taxonomy/p/taxonomy-history?taxnode_id=201854371","ICTVonline=201854371")</f>
        <v>ICTVonline=201854371</v>
      </c>
      <c r="AA5219" s="1">
        <v>201850000</v>
      </c>
      <c r="AB5219" s="1">
        <v>34</v>
      </c>
    </row>
    <row r="5220" spans="1:28" x14ac:dyDescent="0.15">
      <c r="A5220" s="1">
        <v>13012</v>
      </c>
      <c r="L5220" s="1" t="s">
        <v>950</v>
      </c>
      <c r="N5220" s="1" t="s">
        <v>612</v>
      </c>
      <c r="P5220" s="1" t="s">
        <v>610</v>
      </c>
      <c r="Q5220" s="3">
        <v>1</v>
      </c>
      <c r="S5220" s="23" t="s">
        <v>5949</v>
      </c>
      <c r="W5220" s="45" t="str">
        <f>HYPERLINK("http://ictvonline.org/taxonomy/p/taxonomy-history?taxnode_id=201854372","ICTVonline=201854372")</f>
        <v>ICTVonline=201854372</v>
      </c>
      <c r="AA5220" s="1">
        <v>201850000</v>
      </c>
      <c r="AB5220" s="1">
        <v>34</v>
      </c>
    </row>
    <row r="5221" spans="1:28" x14ac:dyDescent="0.15">
      <c r="A5221" s="1">
        <v>13014</v>
      </c>
      <c r="L5221" s="1" t="s">
        <v>950</v>
      </c>
      <c r="N5221" s="1" t="s">
        <v>612</v>
      </c>
      <c r="P5221" s="1" t="s">
        <v>611</v>
      </c>
      <c r="Q5221" s="3">
        <v>0</v>
      </c>
      <c r="S5221" s="23" t="s">
        <v>5949</v>
      </c>
      <c r="W5221" s="45" t="str">
        <f>HYPERLINK("http://ictvonline.org/taxonomy/p/taxonomy-history?taxnode_id=201854373","ICTVonline=201854373")</f>
        <v>ICTVonline=201854373</v>
      </c>
      <c r="AA5221" s="1">
        <v>201850000</v>
      </c>
      <c r="AB5221" s="1">
        <v>34</v>
      </c>
    </row>
    <row r="5222" spans="1:28" x14ac:dyDescent="0.15">
      <c r="A5222" s="1">
        <v>13016</v>
      </c>
      <c r="L5222" s="1" t="s">
        <v>950</v>
      </c>
      <c r="N5222" s="1" t="s">
        <v>612</v>
      </c>
      <c r="P5222" s="1" t="s">
        <v>621</v>
      </c>
      <c r="Q5222" s="3">
        <v>0</v>
      </c>
      <c r="S5222" s="23" t="s">
        <v>5949</v>
      </c>
      <c r="W5222" s="45" t="str">
        <f>HYPERLINK("http://ictvonline.org/taxonomy/p/taxonomy-history?taxnode_id=201854374","ICTVonline=201854374")</f>
        <v>ICTVonline=201854374</v>
      </c>
      <c r="AA5222" s="1">
        <v>201850000</v>
      </c>
      <c r="AB5222" s="1">
        <v>34</v>
      </c>
    </row>
    <row r="5223" spans="1:28" x14ac:dyDescent="0.15">
      <c r="A5223" s="1">
        <v>13018</v>
      </c>
      <c r="L5223" s="1" t="s">
        <v>950</v>
      </c>
      <c r="N5223" s="1" t="s">
        <v>612</v>
      </c>
      <c r="P5223" s="1" t="s">
        <v>622</v>
      </c>
      <c r="Q5223" s="3">
        <v>0</v>
      </c>
      <c r="S5223" s="23" t="s">
        <v>5949</v>
      </c>
      <c r="W5223" s="45" t="str">
        <f>HYPERLINK("http://ictvonline.org/taxonomy/p/taxonomy-history?taxnode_id=201854375","ICTVonline=201854375")</f>
        <v>ICTVonline=201854375</v>
      </c>
      <c r="AA5223" s="1">
        <v>201850000</v>
      </c>
      <c r="AB5223" s="1">
        <v>34</v>
      </c>
    </row>
    <row r="5224" spans="1:28" x14ac:dyDescent="0.15">
      <c r="A5224" s="1">
        <v>13020</v>
      </c>
      <c r="L5224" s="1" t="s">
        <v>950</v>
      </c>
      <c r="N5224" s="1" t="s">
        <v>612</v>
      </c>
      <c r="P5224" s="1" t="s">
        <v>886</v>
      </c>
      <c r="Q5224" s="3">
        <v>0</v>
      </c>
      <c r="S5224" s="23" t="s">
        <v>5949</v>
      </c>
      <c r="W5224" s="45" t="str">
        <f>HYPERLINK("http://ictvonline.org/taxonomy/p/taxonomy-history?taxnode_id=201854376","ICTVonline=201854376")</f>
        <v>ICTVonline=201854376</v>
      </c>
      <c r="AA5224" s="1">
        <v>201850000</v>
      </c>
      <c r="AB5224" s="1">
        <v>34</v>
      </c>
    </row>
    <row r="5225" spans="1:28" x14ac:dyDescent="0.15">
      <c r="A5225" s="1">
        <v>13022</v>
      </c>
      <c r="L5225" s="1" t="s">
        <v>950</v>
      </c>
      <c r="N5225" s="1" t="s">
        <v>612</v>
      </c>
      <c r="P5225" s="1" t="s">
        <v>962</v>
      </c>
      <c r="Q5225" s="3">
        <v>0</v>
      </c>
      <c r="S5225" s="23" t="s">
        <v>5949</v>
      </c>
      <c r="W5225" s="45" t="str">
        <f>HYPERLINK("http://ictvonline.org/taxonomy/p/taxonomy-history?taxnode_id=201854377","ICTVonline=201854377")</f>
        <v>ICTVonline=201854377</v>
      </c>
      <c r="AA5225" s="1">
        <v>201850000</v>
      </c>
      <c r="AB5225" s="1">
        <v>34</v>
      </c>
    </row>
    <row r="5226" spans="1:28" x14ac:dyDescent="0.15">
      <c r="A5226" s="1">
        <v>13024</v>
      </c>
      <c r="L5226" s="1" t="s">
        <v>950</v>
      </c>
      <c r="N5226" s="1" t="s">
        <v>612</v>
      </c>
      <c r="P5226" s="1" t="s">
        <v>963</v>
      </c>
      <c r="Q5226" s="3">
        <v>0</v>
      </c>
      <c r="S5226" s="23" t="s">
        <v>5949</v>
      </c>
      <c r="W5226" s="45" t="str">
        <f>HYPERLINK("http://ictvonline.org/taxonomy/p/taxonomy-history?taxnode_id=201854378","ICTVonline=201854378")</f>
        <v>ICTVonline=201854378</v>
      </c>
      <c r="AA5226" s="1">
        <v>201850000</v>
      </c>
      <c r="AB5226" s="1">
        <v>34</v>
      </c>
    </row>
    <row r="5227" spans="1:28" x14ac:dyDescent="0.15">
      <c r="A5227" s="1">
        <v>13026</v>
      </c>
      <c r="L5227" s="1" t="s">
        <v>950</v>
      </c>
      <c r="N5227" s="1" t="s">
        <v>612</v>
      </c>
      <c r="P5227" s="1" t="s">
        <v>1912</v>
      </c>
      <c r="Q5227" s="3">
        <v>0</v>
      </c>
      <c r="S5227" s="23" t="s">
        <v>5949</v>
      </c>
      <c r="W5227" s="45" t="str">
        <f>HYPERLINK("http://ictvonline.org/taxonomy/p/taxonomy-history?taxnode_id=201854379","ICTVonline=201854379")</f>
        <v>ICTVonline=201854379</v>
      </c>
      <c r="AA5227" s="1">
        <v>201850000</v>
      </c>
      <c r="AB5227" s="1">
        <v>34</v>
      </c>
    </row>
    <row r="5228" spans="1:28" x14ac:dyDescent="0.15">
      <c r="A5228" s="1">
        <v>13028</v>
      </c>
      <c r="L5228" s="1" t="s">
        <v>950</v>
      </c>
      <c r="N5228" s="1" t="s">
        <v>612</v>
      </c>
      <c r="P5228" s="1" t="s">
        <v>1913</v>
      </c>
      <c r="Q5228" s="3">
        <v>0</v>
      </c>
      <c r="S5228" s="23" t="s">
        <v>5949</v>
      </c>
      <c r="W5228" s="45" t="str">
        <f>HYPERLINK("http://ictvonline.org/taxonomy/p/taxonomy-history?taxnode_id=201854380","ICTVonline=201854380")</f>
        <v>ICTVonline=201854380</v>
      </c>
      <c r="AA5228" s="1">
        <v>201850000</v>
      </c>
      <c r="AB5228" s="1">
        <v>34</v>
      </c>
    </row>
    <row r="5229" spans="1:28" x14ac:dyDescent="0.15">
      <c r="A5229" s="1">
        <v>13030</v>
      </c>
      <c r="L5229" s="1" t="s">
        <v>950</v>
      </c>
      <c r="N5229" s="1" t="s">
        <v>612</v>
      </c>
      <c r="P5229" s="1" t="s">
        <v>1914</v>
      </c>
      <c r="Q5229" s="3">
        <v>0</v>
      </c>
      <c r="S5229" s="23" t="s">
        <v>5949</v>
      </c>
      <c r="W5229" s="45" t="str">
        <f>HYPERLINK("http://ictvonline.org/taxonomy/p/taxonomy-history?taxnode_id=201854381","ICTVonline=201854381")</f>
        <v>ICTVonline=201854381</v>
      </c>
      <c r="AA5229" s="1">
        <v>201850000</v>
      </c>
      <c r="AB5229" s="1">
        <v>34</v>
      </c>
    </row>
    <row r="5230" spans="1:28" x14ac:dyDescent="0.15">
      <c r="A5230" s="1">
        <v>13032</v>
      </c>
      <c r="L5230" s="1" t="s">
        <v>950</v>
      </c>
      <c r="N5230" s="1" t="s">
        <v>612</v>
      </c>
      <c r="P5230" s="1" t="s">
        <v>890</v>
      </c>
      <c r="Q5230" s="3">
        <v>0</v>
      </c>
      <c r="S5230" s="23" t="s">
        <v>5949</v>
      </c>
      <c r="W5230" s="45" t="str">
        <f>HYPERLINK("http://ictvonline.org/taxonomy/p/taxonomy-history?taxnode_id=201854382","ICTVonline=201854382")</f>
        <v>ICTVonline=201854382</v>
      </c>
      <c r="AA5230" s="1">
        <v>201850000</v>
      </c>
      <c r="AB5230" s="1">
        <v>34</v>
      </c>
    </row>
    <row r="5231" spans="1:28" x14ac:dyDescent="0.15">
      <c r="A5231" s="1">
        <v>13034</v>
      </c>
      <c r="L5231" s="1" t="s">
        <v>950</v>
      </c>
      <c r="N5231" s="1" t="s">
        <v>612</v>
      </c>
      <c r="P5231" s="1" t="s">
        <v>960</v>
      </c>
      <c r="Q5231" s="3">
        <v>0</v>
      </c>
      <c r="S5231" s="23" t="s">
        <v>5949</v>
      </c>
      <c r="W5231" s="45" t="str">
        <f>HYPERLINK("http://ictvonline.org/taxonomy/p/taxonomy-history?taxnode_id=201854383","ICTVonline=201854383")</f>
        <v>ICTVonline=201854383</v>
      </c>
      <c r="AA5231" s="1">
        <v>201850000</v>
      </c>
      <c r="AB5231" s="1">
        <v>34</v>
      </c>
    </row>
    <row r="5232" spans="1:28" x14ac:dyDescent="0.15">
      <c r="A5232" s="1">
        <v>13036</v>
      </c>
      <c r="L5232" s="1" t="s">
        <v>950</v>
      </c>
      <c r="N5232" s="1" t="s">
        <v>612</v>
      </c>
      <c r="P5232" s="1" t="s">
        <v>961</v>
      </c>
      <c r="Q5232" s="3">
        <v>0</v>
      </c>
      <c r="S5232" s="23" t="s">
        <v>5949</v>
      </c>
      <c r="W5232" s="45" t="str">
        <f>HYPERLINK("http://ictvonline.org/taxonomy/p/taxonomy-history?taxnode_id=201854384","ICTVonline=201854384")</f>
        <v>ICTVonline=201854384</v>
      </c>
      <c r="AA5232" s="1">
        <v>201850000</v>
      </c>
      <c r="AB5232" s="1">
        <v>34</v>
      </c>
    </row>
    <row r="5233" spans="1:28" x14ac:dyDescent="0.15">
      <c r="A5233" s="1">
        <v>13038</v>
      </c>
      <c r="L5233" s="1" t="s">
        <v>950</v>
      </c>
      <c r="N5233" s="1" t="s">
        <v>612</v>
      </c>
      <c r="P5233" s="1" t="s">
        <v>1755</v>
      </c>
      <c r="Q5233" s="3">
        <v>0</v>
      </c>
      <c r="S5233" s="23" t="s">
        <v>5949</v>
      </c>
      <c r="W5233" s="45" t="str">
        <f>HYPERLINK("http://ictvonline.org/taxonomy/p/taxonomy-history?taxnode_id=201854385","ICTVonline=201854385")</f>
        <v>ICTVonline=201854385</v>
      </c>
      <c r="AA5233" s="1">
        <v>201850000</v>
      </c>
      <c r="AB5233" s="1">
        <v>34</v>
      </c>
    </row>
    <row r="5234" spans="1:28" x14ac:dyDescent="0.15">
      <c r="A5234" s="1">
        <v>13040</v>
      </c>
      <c r="L5234" s="1" t="s">
        <v>950</v>
      </c>
      <c r="N5234" s="1" t="s">
        <v>612</v>
      </c>
      <c r="P5234" s="1" t="s">
        <v>623</v>
      </c>
      <c r="Q5234" s="3">
        <v>0</v>
      </c>
      <c r="S5234" s="23" t="s">
        <v>5949</v>
      </c>
      <c r="W5234" s="45" t="str">
        <f>HYPERLINK("http://ictvonline.org/taxonomy/p/taxonomy-history?taxnode_id=201854386","ICTVonline=201854386")</f>
        <v>ICTVonline=201854386</v>
      </c>
      <c r="AA5234" s="1">
        <v>201850000</v>
      </c>
      <c r="AB5234" s="1">
        <v>34</v>
      </c>
    </row>
    <row r="5235" spans="1:28" x14ac:dyDescent="0.15">
      <c r="A5235" s="1">
        <v>13044</v>
      </c>
      <c r="L5235" s="1" t="s">
        <v>950</v>
      </c>
      <c r="N5235" s="1" t="s">
        <v>624</v>
      </c>
      <c r="P5235" s="1" t="s">
        <v>964</v>
      </c>
      <c r="Q5235" s="3">
        <v>0</v>
      </c>
      <c r="S5235" s="23" t="s">
        <v>5949</v>
      </c>
      <c r="W5235" s="45" t="str">
        <f>HYPERLINK("http://ictvonline.org/taxonomy/p/taxonomy-history?taxnode_id=201854388","ICTVonline=201854388")</f>
        <v>ICTVonline=201854388</v>
      </c>
      <c r="AA5235" s="1">
        <v>201850000</v>
      </c>
      <c r="AB5235" s="1">
        <v>34</v>
      </c>
    </row>
    <row r="5236" spans="1:28" x14ac:dyDescent="0.15">
      <c r="A5236" s="1">
        <v>13046</v>
      </c>
      <c r="L5236" s="1" t="s">
        <v>950</v>
      </c>
      <c r="N5236" s="1" t="s">
        <v>624</v>
      </c>
      <c r="P5236" s="1" t="s">
        <v>896</v>
      </c>
      <c r="Q5236" s="3">
        <v>0</v>
      </c>
      <c r="S5236" s="23" t="s">
        <v>5949</v>
      </c>
      <c r="W5236" s="45" t="str">
        <f>HYPERLINK("http://ictvonline.org/taxonomy/p/taxonomy-history?taxnode_id=201854389","ICTVonline=201854389")</f>
        <v>ICTVonline=201854389</v>
      </c>
      <c r="AA5236" s="1">
        <v>201850000</v>
      </c>
      <c r="AB5236" s="1">
        <v>34</v>
      </c>
    </row>
    <row r="5237" spans="1:28" x14ac:dyDescent="0.15">
      <c r="A5237" s="1">
        <v>13048</v>
      </c>
      <c r="L5237" s="1" t="s">
        <v>950</v>
      </c>
      <c r="N5237" s="1" t="s">
        <v>624</v>
      </c>
      <c r="P5237" s="1" t="s">
        <v>897</v>
      </c>
      <c r="Q5237" s="3">
        <v>1</v>
      </c>
      <c r="S5237" s="23" t="s">
        <v>5949</v>
      </c>
      <c r="W5237" s="45" t="str">
        <f>HYPERLINK("http://ictvonline.org/taxonomy/p/taxonomy-history?taxnode_id=201854390","ICTVonline=201854390")</f>
        <v>ICTVonline=201854390</v>
      </c>
      <c r="AA5237" s="1">
        <v>201850000</v>
      </c>
      <c r="AB5237" s="1">
        <v>34</v>
      </c>
    </row>
    <row r="5238" spans="1:28" x14ac:dyDescent="0.15">
      <c r="A5238" s="1">
        <v>13050</v>
      </c>
      <c r="L5238" s="1" t="s">
        <v>950</v>
      </c>
      <c r="N5238" s="1" t="s">
        <v>624</v>
      </c>
      <c r="P5238" s="1" t="s">
        <v>898</v>
      </c>
      <c r="Q5238" s="3">
        <v>0</v>
      </c>
      <c r="S5238" s="23" t="s">
        <v>5949</v>
      </c>
      <c r="W5238" s="45" t="str">
        <f>HYPERLINK("http://ictvonline.org/taxonomy/p/taxonomy-history?taxnode_id=201854391","ICTVonline=201854391")</f>
        <v>ICTVonline=201854391</v>
      </c>
      <c r="AA5238" s="1">
        <v>201850000</v>
      </c>
      <c r="AB5238" s="1">
        <v>34</v>
      </c>
    </row>
    <row r="5239" spans="1:28" x14ac:dyDescent="0.15">
      <c r="A5239" s="1">
        <v>13052</v>
      </c>
      <c r="L5239" s="1" t="s">
        <v>950</v>
      </c>
      <c r="N5239" s="1" t="s">
        <v>624</v>
      </c>
      <c r="P5239" s="1" t="s">
        <v>980</v>
      </c>
      <c r="Q5239" s="3">
        <v>0</v>
      </c>
      <c r="S5239" s="23" t="s">
        <v>5949</v>
      </c>
      <c r="W5239" s="45" t="str">
        <f>HYPERLINK("http://ictvonline.org/taxonomy/p/taxonomy-history?taxnode_id=201854392","ICTVonline=201854392")</f>
        <v>ICTVonline=201854392</v>
      </c>
      <c r="AA5239" s="1">
        <v>201850000</v>
      </c>
      <c r="AB5239" s="1">
        <v>34</v>
      </c>
    </row>
    <row r="5240" spans="1:28" x14ac:dyDescent="0.15">
      <c r="A5240" s="1">
        <v>13054</v>
      </c>
      <c r="L5240" s="1" t="s">
        <v>950</v>
      </c>
      <c r="N5240" s="1" t="s">
        <v>624</v>
      </c>
      <c r="P5240" s="1" t="s">
        <v>981</v>
      </c>
      <c r="Q5240" s="3">
        <v>0</v>
      </c>
      <c r="S5240" s="23" t="s">
        <v>5949</v>
      </c>
      <c r="W5240" s="45" t="str">
        <f>HYPERLINK("http://ictvonline.org/taxonomy/p/taxonomy-history?taxnode_id=201854393","ICTVonline=201854393")</f>
        <v>ICTVonline=201854393</v>
      </c>
      <c r="AA5240" s="1">
        <v>201850000</v>
      </c>
      <c r="AB5240" s="1">
        <v>34</v>
      </c>
    </row>
    <row r="5241" spans="1:28" x14ac:dyDescent="0.15">
      <c r="A5241" s="1">
        <v>13056</v>
      </c>
      <c r="L5241" s="1" t="s">
        <v>950</v>
      </c>
      <c r="N5241" s="1" t="s">
        <v>624</v>
      </c>
      <c r="P5241" s="1" t="s">
        <v>982</v>
      </c>
      <c r="Q5241" s="3">
        <v>0</v>
      </c>
      <c r="S5241" s="23" t="s">
        <v>5949</v>
      </c>
      <c r="W5241" s="45" t="str">
        <f>HYPERLINK("http://ictvonline.org/taxonomy/p/taxonomy-history?taxnode_id=201854394","ICTVonline=201854394")</f>
        <v>ICTVonline=201854394</v>
      </c>
      <c r="AA5241" s="1">
        <v>201850000</v>
      </c>
      <c r="AB5241" s="1">
        <v>34</v>
      </c>
    </row>
    <row r="5242" spans="1:28" x14ac:dyDescent="0.15">
      <c r="A5242" s="1">
        <v>13058</v>
      </c>
      <c r="L5242" s="1" t="s">
        <v>950</v>
      </c>
      <c r="N5242" s="1" t="s">
        <v>624</v>
      </c>
      <c r="P5242" s="1" t="s">
        <v>983</v>
      </c>
      <c r="Q5242" s="3">
        <v>0</v>
      </c>
      <c r="S5242" s="23" t="s">
        <v>5949</v>
      </c>
      <c r="W5242" s="45" t="str">
        <f>HYPERLINK("http://ictvonline.org/taxonomy/p/taxonomy-history?taxnode_id=201854395","ICTVonline=201854395")</f>
        <v>ICTVonline=201854395</v>
      </c>
      <c r="AA5242" s="1">
        <v>201850000</v>
      </c>
      <c r="AB5242" s="1">
        <v>34</v>
      </c>
    </row>
    <row r="5243" spans="1:28" x14ac:dyDescent="0.15">
      <c r="A5243" s="1">
        <v>13060</v>
      </c>
      <c r="L5243" s="1" t="s">
        <v>950</v>
      </c>
      <c r="N5243" s="1" t="s">
        <v>624</v>
      </c>
      <c r="P5243" s="1" t="s">
        <v>984</v>
      </c>
      <c r="Q5243" s="3">
        <v>0</v>
      </c>
      <c r="S5243" s="23" t="s">
        <v>5949</v>
      </c>
      <c r="W5243" s="45" t="str">
        <f>HYPERLINK("http://ictvonline.org/taxonomy/p/taxonomy-history?taxnode_id=201854396","ICTVonline=201854396")</f>
        <v>ICTVonline=201854396</v>
      </c>
      <c r="AA5243" s="1">
        <v>201850000</v>
      </c>
      <c r="AB5243" s="1">
        <v>34</v>
      </c>
    </row>
    <row r="5244" spans="1:28" x14ac:dyDescent="0.15">
      <c r="A5244" s="1">
        <v>13062</v>
      </c>
      <c r="L5244" s="1" t="s">
        <v>950</v>
      </c>
      <c r="N5244" s="1" t="s">
        <v>624</v>
      </c>
      <c r="P5244" s="1" t="s">
        <v>985</v>
      </c>
      <c r="Q5244" s="3">
        <v>0</v>
      </c>
      <c r="S5244" s="23" t="s">
        <v>5949</v>
      </c>
      <c r="W5244" s="45" t="str">
        <f>HYPERLINK("http://ictvonline.org/taxonomy/p/taxonomy-history?taxnode_id=201854397","ICTVonline=201854397")</f>
        <v>ICTVonline=201854397</v>
      </c>
      <c r="AA5244" s="1">
        <v>201850000</v>
      </c>
      <c r="AB5244" s="1">
        <v>34</v>
      </c>
    </row>
    <row r="5245" spans="1:28" x14ac:dyDescent="0.15">
      <c r="A5245" s="1">
        <v>13064</v>
      </c>
      <c r="L5245" s="1" t="s">
        <v>950</v>
      </c>
      <c r="N5245" s="1" t="s">
        <v>624</v>
      </c>
      <c r="P5245" s="1" t="s">
        <v>986</v>
      </c>
      <c r="Q5245" s="3">
        <v>0</v>
      </c>
      <c r="S5245" s="23" t="s">
        <v>5949</v>
      </c>
      <c r="W5245" s="45" t="str">
        <f>HYPERLINK("http://ictvonline.org/taxonomy/p/taxonomy-history?taxnode_id=201854398","ICTVonline=201854398")</f>
        <v>ICTVonline=201854398</v>
      </c>
      <c r="AA5245" s="1">
        <v>201850000</v>
      </c>
      <c r="AB5245" s="1">
        <v>34</v>
      </c>
    </row>
    <row r="5246" spans="1:28" x14ac:dyDescent="0.15">
      <c r="A5246" s="1">
        <v>13066</v>
      </c>
      <c r="L5246" s="1" t="s">
        <v>950</v>
      </c>
      <c r="N5246" s="1" t="s">
        <v>624</v>
      </c>
      <c r="P5246" s="1" t="s">
        <v>987</v>
      </c>
      <c r="Q5246" s="3">
        <v>0</v>
      </c>
      <c r="S5246" s="23" t="s">
        <v>5949</v>
      </c>
      <c r="W5246" s="45" t="str">
        <f>HYPERLINK("http://ictvonline.org/taxonomy/p/taxonomy-history?taxnode_id=201854399","ICTVonline=201854399")</f>
        <v>ICTVonline=201854399</v>
      </c>
      <c r="AA5246" s="1">
        <v>201850000</v>
      </c>
      <c r="AB5246" s="1">
        <v>34</v>
      </c>
    </row>
    <row r="5247" spans="1:28" x14ac:dyDescent="0.15">
      <c r="A5247" s="1">
        <v>13068</v>
      </c>
      <c r="L5247" s="1" t="s">
        <v>950</v>
      </c>
      <c r="N5247" s="1" t="s">
        <v>624</v>
      </c>
      <c r="P5247" s="1" t="s">
        <v>988</v>
      </c>
      <c r="Q5247" s="3">
        <v>0</v>
      </c>
      <c r="S5247" s="23" t="s">
        <v>5949</v>
      </c>
      <c r="W5247" s="45" t="str">
        <f>HYPERLINK("http://ictvonline.org/taxonomy/p/taxonomy-history?taxnode_id=201854400","ICTVonline=201854400")</f>
        <v>ICTVonline=201854400</v>
      </c>
      <c r="AA5247" s="1">
        <v>201850000</v>
      </c>
      <c r="AB5247" s="1">
        <v>34</v>
      </c>
    </row>
    <row r="5248" spans="1:28" x14ac:dyDescent="0.15">
      <c r="A5248" s="1">
        <v>13070</v>
      </c>
      <c r="L5248" s="1" t="s">
        <v>950</v>
      </c>
      <c r="N5248" s="1" t="s">
        <v>624</v>
      </c>
      <c r="P5248" s="1" t="s">
        <v>989</v>
      </c>
      <c r="Q5248" s="3">
        <v>0</v>
      </c>
      <c r="S5248" s="23" t="s">
        <v>5949</v>
      </c>
      <c r="W5248" s="45" t="str">
        <f>HYPERLINK("http://ictvonline.org/taxonomy/p/taxonomy-history?taxnode_id=201854401","ICTVonline=201854401")</f>
        <v>ICTVonline=201854401</v>
      </c>
      <c r="AA5248" s="1">
        <v>201850000</v>
      </c>
      <c r="AB5248" s="1">
        <v>34</v>
      </c>
    </row>
    <row r="5249" spans="1:28" x14ac:dyDescent="0.15">
      <c r="A5249" s="1">
        <v>13072</v>
      </c>
      <c r="L5249" s="1" t="s">
        <v>950</v>
      </c>
      <c r="N5249" s="1" t="s">
        <v>624</v>
      </c>
      <c r="P5249" s="1" t="s">
        <v>990</v>
      </c>
      <c r="Q5249" s="3">
        <v>0</v>
      </c>
      <c r="S5249" s="23" t="s">
        <v>5949</v>
      </c>
      <c r="W5249" s="45" t="str">
        <f>HYPERLINK("http://ictvonline.org/taxonomy/p/taxonomy-history?taxnode_id=201854402","ICTVonline=201854402")</f>
        <v>ICTVonline=201854402</v>
      </c>
      <c r="AA5249" s="1">
        <v>201850000</v>
      </c>
      <c r="AB5249" s="1">
        <v>34</v>
      </c>
    </row>
    <row r="5250" spans="1:28" x14ac:dyDescent="0.15">
      <c r="A5250" s="1">
        <v>13074</v>
      </c>
      <c r="L5250" s="1" t="s">
        <v>950</v>
      </c>
      <c r="N5250" s="1" t="s">
        <v>624</v>
      </c>
      <c r="P5250" s="1" t="s">
        <v>991</v>
      </c>
      <c r="Q5250" s="3">
        <v>0</v>
      </c>
      <c r="S5250" s="23" t="s">
        <v>5949</v>
      </c>
      <c r="W5250" s="45" t="str">
        <f>HYPERLINK("http://ictvonline.org/taxonomy/p/taxonomy-history?taxnode_id=201854403","ICTVonline=201854403")</f>
        <v>ICTVonline=201854403</v>
      </c>
      <c r="AA5250" s="1">
        <v>201850000</v>
      </c>
      <c r="AB5250" s="1">
        <v>34</v>
      </c>
    </row>
    <row r="5251" spans="1:28" x14ac:dyDescent="0.15">
      <c r="A5251" s="1">
        <v>13076</v>
      </c>
      <c r="L5251" s="1" t="s">
        <v>950</v>
      </c>
      <c r="N5251" s="1" t="s">
        <v>624</v>
      </c>
      <c r="P5251" s="1" t="s">
        <v>992</v>
      </c>
      <c r="Q5251" s="3">
        <v>0</v>
      </c>
      <c r="S5251" s="23" t="s">
        <v>5949</v>
      </c>
      <c r="W5251" s="45" t="str">
        <f>HYPERLINK("http://ictvonline.org/taxonomy/p/taxonomy-history?taxnode_id=201854404","ICTVonline=201854404")</f>
        <v>ICTVonline=201854404</v>
      </c>
      <c r="AA5251" s="1">
        <v>201850000</v>
      </c>
      <c r="AB5251" s="1">
        <v>34</v>
      </c>
    </row>
    <row r="5252" spans="1:28" x14ac:dyDescent="0.15">
      <c r="A5252" s="1">
        <v>13078</v>
      </c>
      <c r="L5252" s="1" t="s">
        <v>950</v>
      </c>
      <c r="N5252" s="1" t="s">
        <v>624</v>
      </c>
      <c r="P5252" s="1" t="s">
        <v>993</v>
      </c>
      <c r="Q5252" s="3">
        <v>0</v>
      </c>
      <c r="S5252" s="23" t="s">
        <v>5949</v>
      </c>
      <c r="W5252" s="45" t="str">
        <f>HYPERLINK("http://ictvonline.org/taxonomy/p/taxonomy-history?taxnode_id=201854405","ICTVonline=201854405")</f>
        <v>ICTVonline=201854405</v>
      </c>
      <c r="AA5252" s="1">
        <v>201850000</v>
      </c>
      <c r="AB5252" s="1">
        <v>34</v>
      </c>
    </row>
    <row r="5253" spans="1:28" x14ac:dyDescent="0.15">
      <c r="A5253" s="1">
        <v>13080</v>
      </c>
      <c r="L5253" s="1" t="s">
        <v>950</v>
      </c>
      <c r="N5253" s="1" t="s">
        <v>624</v>
      </c>
      <c r="P5253" s="1" t="s">
        <v>994</v>
      </c>
      <c r="Q5253" s="3">
        <v>0</v>
      </c>
      <c r="S5253" s="23" t="s">
        <v>5949</v>
      </c>
      <c r="W5253" s="45" t="str">
        <f>HYPERLINK("http://ictvonline.org/taxonomy/p/taxonomy-history?taxnode_id=201854406","ICTVonline=201854406")</f>
        <v>ICTVonline=201854406</v>
      </c>
      <c r="AA5253" s="1">
        <v>201850000</v>
      </c>
      <c r="AB5253" s="1">
        <v>34</v>
      </c>
    </row>
    <row r="5254" spans="1:28" x14ac:dyDescent="0.15">
      <c r="A5254" s="1">
        <v>13082</v>
      </c>
      <c r="L5254" s="1" t="s">
        <v>950</v>
      </c>
      <c r="N5254" s="1" t="s">
        <v>624</v>
      </c>
      <c r="P5254" s="1" t="s">
        <v>995</v>
      </c>
      <c r="Q5254" s="3">
        <v>0</v>
      </c>
      <c r="S5254" s="23" t="s">
        <v>5949</v>
      </c>
      <c r="W5254" s="45" t="str">
        <f>HYPERLINK("http://ictvonline.org/taxonomy/p/taxonomy-history?taxnode_id=201854407","ICTVonline=201854407")</f>
        <v>ICTVonline=201854407</v>
      </c>
      <c r="AA5254" s="1">
        <v>201850000</v>
      </c>
      <c r="AB5254" s="1">
        <v>34</v>
      </c>
    </row>
    <row r="5255" spans="1:28" x14ac:dyDescent="0.15">
      <c r="A5255" s="1">
        <v>13084</v>
      </c>
      <c r="L5255" s="1" t="s">
        <v>950</v>
      </c>
      <c r="N5255" s="1" t="s">
        <v>624</v>
      </c>
      <c r="P5255" s="1" t="s">
        <v>996</v>
      </c>
      <c r="Q5255" s="3">
        <v>0</v>
      </c>
      <c r="S5255" s="23" t="s">
        <v>5949</v>
      </c>
      <c r="W5255" s="45" t="str">
        <f>HYPERLINK("http://ictvonline.org/taxonomy/p/taxonomy-history?taxnode_id=201854408","ICTVonline=201854408")</f>
        <v>ICTVonline=201854408</v>
      </c>
      <c r="AA5255" s="1">
        <v>201850000</v>
      </c>
      <c r="AB5255" s="1">
        <v>34</v>
      </c>
    </row>
    <row r="5256" spans="1:28" x14ac:dyDescent="0.15">
      <c r="A5256" s="1">
        <v>13090</v>
      </c>
      <c r="L5256" s="1" t="s">
        <v>997</v>
      </c>
      <c r="N5256" s="1" t="s">
        <v>3921</v>
      </c>
      <c r="P5256" s="1" t="s">
        <v>3922</v>
      </c>
      <c r="Q5256" s="3">
        <v>0</v>
      </c>
      <c r="S5256" s="23" t="s">
        <v>5949</v>
      </c>
      <c r="W5256" s="45" t="str">
        <f>HYPERLINK("http://ictvonline.org/taxonomy/p/taxonomy-history?taxnode_id=201854412","ICTVonline=201854412")</f>
        <v>ICTVonline=201854412</v>
      </c>
      <c r="AA5256" s="1">
        <v>201850000</v>
      </c>
      <c r="AB5256" s="1">
        <v>34</v>
      </c>
    </row>
    <row r="5257" spans="1:28" x14ac:dyDescent="0.15">
      <c r="A5257" s="1">
        <v>13092</v>
      </c>
      <c r="L5257" s="1" t="s">
        <v>997</v>
      </c>
      <c r="N5257" s="1" t="s">
        <v>3921</v>
      </c>
      <c r="P5257" s="1" t="s">
        <v>3923</v>
      </c>
      <c r="Q5257" s="3">
        <v>0</v>
      </c>
      <c r="S5257" s="23" t="s">
        <v>5949</v>
      </c>
      <c r="W5257" s="45" t="str">
        <f>HYPERLINK("http://ictvonline.org/taxonomy/p/taxonomy-history?taxnode_id=201854413","ICTVonline=201854413")</f>
        <v>ICTVonline=201854413</v>
      </c>
      <c r="AA5257" s="1">
        <v>201850000</v>
      </c>
      <c r="AB5257" s="1">
        <v>34</v>
      </c>
    </row>
    <row r="5258" spans="1:28" x14ac:dyDescent="0.15">
      <c r="A5258" s="1">
        <v>13094</v>
      </c>
      <c r="L5258" s="1" t="s">
        <v>997</v>
      </c>
      <c r="N5258" s="1" t="s">
        <v>3921</v>
      </c>
      <c r="P5258" s="1" t="s">
        <v>3924</v>
      </c>
      <c r="Q5258" s="3">
        <v>0</v>
      </c>
      <c r="S5258" s="23" t="s">
        <v>5949</v>
      </c>
      <c r="W5258" s="45" t="str">
        <f>HYPERLINK("http://ictvonline.org/taxonomy/p/taxonomy-history?taxnode_id=201854414","ICTVonline=201854414")</f>
        <v>ICTVonline=201854414</v>
      </c>
      <c r="AA5258" s="1">
        <v>201850000</v>
      </c>
      <c r="AB5258" s="1">
        <v>34</v>
      </c>
    </row>
    <row r="5259" spans="1:28" x14ac:dyDescent="0.15">
      <c r="A5259" s="1">
        <v>13096</v>
      </c>
      <c r="L5259" s="1" t="s">
        <v>997</v>
      </c>
      <c r="N5259" s="1" t="s">
        <v>3921</v>
      </c>
      <c r="P5259" s="1" t="s">
        <v>3925</v>
      </c>
      <c r="Q5259" s="3">
        <v>0</v>
      </c>
      <c r="S5259" s="23" t="s">
        <v>5949</v>
      </c>
      <c r="W5259" s="45" t="str">
        <f>HYPERLINK("http://ictvonline.org/taxonomy/p/taxonomy-history?taxnode_id=201854415","ICTVonline=201854415")</f>
        <v>ICTVonline=201854415</v>
      </c>
      <c r="AA5259" s="1">
        <v>201850000</v>
      </c>
      <c r="AB5259" s="1">
        <v>34</v>
      </c>
    </row>
    <row r="5260" spans="1:28" x14ac:dyDescent="0.15">
      <c r="A5260" s="1">
        <v>13098</v>
      </c>
      <c r="L5260" s="1" t="s">
        <v>997</v>
      </c>
      <c r="N5260" s="1" t="s">
        <v>3921</v>
      </c>
      <c r="P5260" s="1" t="s">
        <v>3926</v>
      </c>
      <c r="Q5260" s="3">
        <v>0</v>
      </c>
      <c r="S5260" s="23" t="s">
        <v>5949</v>
      </c>
      <c r="W5260" s="45" t="str">
        <f>HYPERLINK("http://ictvonline.org/taxonomy/p/taxonomy-history?taxnode_id=201854416","ICTVonline=201854416")</f>
        <v>ICTVonline=201854416</v>
      </c>
      <c r="AA5260" s="1">
        <v>201850000</v>
      </c>
      <c r="AB5260" s="1">
        <v>34</v>
      </c>
    </row>
    <row r="5261" spans="1:28" x14ac:dyDescent="0.15">
      <c r="A5261" s="1">
        <v>13100</v>
      </c>
      <c r="L5261" s="1" t="s">
        <v>997</v>
      </c>
      <c r="N5261" s="1" t="s">
        <v>3921</v>
      </c>
      <c r="P5261" s="1" t="s">
        <v>3927</v>
      </c>
      <c r="Q5261" s="3">
        <v>0</v>
      </c>
      <c r="S5261" s="23" t="s">
        <v>5949</v>
      </c>
      <c r="W5261" s="45" t="str">
        <f>HYPERLINK("http://ictvonline.org/taxonomy/p/taxonomy-history?taxnode_id=201854417","ICTVonline=201854417")</f>
        <v>ICTVonline=201854417</v>
      </c>
      <c r="AA5261" s="1">
        <v>201850000</v>
      </c>
      <c r="AB5261" s="1">
        <v>34</v>
      </c>
    </row>
    <row r="5262" spans="1:28" x14ac:dyDescent="0.15">
      <c r="A5262" s="1">
        <v>13102</v>
      </c>
      <c r="L5262" s="1" t="s">
        <v>997</v>
      </c>
      <c r="N5262" s="1" t="s">
        <v>3921</v>
      </c>
      <c r="P5262" s="1" t="s">
        <v>3928</v>
      </c>
      <c r="Q5262" s="3">
        <v>0</v>
      </c>
      <c r="S5262" s="23" t="s">
        <v>5949</v>
      </c>
      <c r="W5262" s="45" t="str">
        <f>HYPERLINK("http://ictvonline.org/taxonomy/p/taxonomy-history?taxnode_id=201854418","ICTVonline=201854418")</f>
        <v>ICTVonline=201854418</v>
      </c>
      <c r="AA5262" s="1">
        <v>201850000</v>
      </c>
      <c r="AB5262" s="1">
        <v>34</v>
      </c>
    </row>
    <row r="5263" spans="1:28" x14ac:dyDescent="0.15">
      <c r="A5263" s="1">
        <v>13104</v>
      </c>
      <c r="L5263" s="1" t="s">
        <v>997</v>
      </c>
      <c r="N5263" s="1" t="s">
        <v>3921</v>
      </c>
      <c r="P5263" s="1" t="s">
        <v>3929</v>
      </c>
      <c r="Q5263" s="3">
        <v>0</v>
      </c>
      <c r="S5263" s="23" t="s">
        <v>5949</v>
      </c>
      <c r="W5263" s="45" t="str">
        <f>HYPERLINK("http://ictvonline.org/taxonomy/p/taxonomy-history?taxnode_id=201854419","ICTVonline=201854419")</f>
        <v>ICTVonline=201854419</v>
      </c>
      <c r="AA5263" s="1">
        <v>201850000</v>
      </c>
      <c r="AB5263" s="1">
        <v>34</v>
      </c>
    </row>
    <row r="5264" spans="1:28" x14ac:dyDescent="0.15">
      <c r="A5264" s="1">
        <v>13106</v>
      </c>
      <c r="L5264" s="1" t="s">
        <v>997</v>
      </c>
      <c r="N5264" s="1" t="s">
        <v>3921</v>
      </c>
      <c r="P5264" s="1" t="s">
        <v>3930</v>
      </c>
      <c r="Q5264" s="3">
        <v>0</v>
      </c>
      <c r="S5264" s="23" t="s">
        <v>5949</v>
      </c>
      <c r="W5264" s="45" t="str">
        <f>HYPERLINK("http://ictvonline.org/taxonomy/p/taxonomy-history?taxnode_id=201854420","ICTVonline=201854420")</f>
        <v>ICTVonline=201854420</v>
      </c>
      <c r="AA5264" s="1">
        <v>201850000</v>
      </c>
      <c r="AB5264" s="1">
        <v>34</v>
      </c>
    </row>
    <row r="5265" spans="1:28" x14ac:dyDescent="0.15">
      <c r="A5265" s="1">
        <v>13108</v>
      </c>
      <c r="L5265" s="1" t="s">
        <v>997</v>
      </c>
      <c r="N5265" s="1" t="s">
        <v>3921</v>
      </c>
      <c r="P5265" s="1" t="s">
        <v>3931</v>
      </c>
      <c r="Q5265" s="3">
        <v>0</v>
      </c>
      <c r="S5265" s="23" t="s">
        <v>5949</v>
      </c>
      <c r="W5265" s="45" t="str">
        <f>HYPERLINK("http://ictvonline.org/taxonomy/p/taxonomy-history?taxnode_id=201854421","ICTVonline=201854421")</f>
        <v>ICTVonline=201854421</v>
      </c>
      <c r="AA5265" s="1">
        <v>201850000</v>
      </c>
      <c r="AB5265" s="1">
        <v>34</v>
      </c>
    </row>
    <row r="5266" spans="1:28" x14ac:dyDescent="0.15">
      <c r="A5266" s="1">
        <v>13110</v>
      </c>
      <c r="L5266" s="1" t="s">
        <v>997</v>
      </c>
      <c r="N5266" s="1" t="s">
        <v>3921</v>
      </c>
      <c r="P5266" s="1" t="s">
        <v>3932</v>
      </c>
      <c r="Q5266" s="3">
        <v>0</v>
      </c>
      <c r="S5266" s="23" t="s">
        <v>5949</v>
      </c>
      <c r="W5266" s="45" t="str">
        <f>HYPERLINK("http://ictvonline.org/taxonomy/p/taxonomy-history?taxnode_id=201854422","ICTVonline=201854422")</f>
        <v>ICTVonline=201854422</v>
      </c>
      <c r="AA5266" s="1">
        <v>201850000</v>
      </c>
      <c r="AB5266" s="1">
        <v>34</v>
      </c>
    </row>
    <row r="5267" spans="1:28" x14ac:dyDescent="0.15">
      <c r="A5267" s="1">
        <v>13112</v>
      </c>
      <c r="L5267" s="1" t="s">
        <v>997</v>
      </c>
      <c r="N5267" s="1" t="s">
        <v>3921</v>
      </c>
      <c r="P5267" s="1" t="s">
        <v>3933</v>
      </c>
      <c r="Q5267" s="3">
        <v>0</v>
      </c>
      <c r="S5267" s="23" t="s">
        <v>5949</v>
      </c>
      <c r="W5267" s="45" t="str">
        <f>HYPERLINK("http://ictvonline.org/taxonomy/p/taxonomy-history?taxnode_id=201854423","ICTVonline=201854423")</f>
        <v>ICTVonline=201854423</v>
      </c>
      <c r="AA5267" s="1">
        <v>201850000</v>
      </c>
      <c r="AB5267" s="1">
        <v>34</v>
      </c>
    </row>
    <row r="5268" spans="1:28" x14ac:dyDescent="0.15">
      <c r="A5268" s="1">
        <v>13114</v>
      </c>
      <c r="L5268" s="1" t="s">
        <v>997</v>
      </c>
      <c r="N5268" s="1" t="s">
        <v>3921</v>
      </c>
      <c r="P5268" s="1" t="s">
        <v>3934</v>
      </c>
      <c r="Q5268" s="3">
        <v>0</v>
      </c>
      <c r="S5268" s="23" t="s">
        <v>5949</v>
      </c>
      <c r="W5268" s="45" t="str">
        <f>HYPERLINK("http://ictvonline.org/taxonomy/p/taxonomy-history?taxnode_id=201854424","ICTVonline=201854424")</f>
        <v>ICTVonline=201854424</v>
      </c>
      <c r="AA5268" s="1">
        <v>201850000</v>
      </c>
      <c r="AB5268" s="1">
        <v>34</v>
      </c>
    </row>
    <row r="5269" spans="1:28" x14ac:dyDescent="0.15">
      <c r="A5269" s="1">
        <v>13116</v>
      </c>
      <c r="L5269" s="1" t="s">
        <v>997</v>
      </c>
      <c r="N5269" s="1" t="s">
        <v>3921</v>
      </c>
      <c r="P5269" s="1" t="s">
        <v>3935</v>
      </c>
      <c r="Q5269" s="3">
        <v>0</v>
      </c>
      <c r="S5269" s="23" t="s">
        <v>5949</v>
      </c>
      <c r="W5269" s="45" t="str">
        <f>HYPERLINK("http://ictvonline.org/taxonomy/p/taxonomy-history?taxnode_id=201854425","ICTVonline=201854425")</f>
        <v>ICTVonline=201854425</v>
      </c>
      <c r="AA5269" s="1">
        <v>201850000</v>
      </c>
      <c r="AB5269" s="1">
        <v>34</v>
      </c>
    </row>
    <row r="5270" spans="1:28" x14ac:dyDescent="0.15">
      <c r="A5270" s="1">
        <v>13118</v>
      </c>
      <c r="L5270" s="1" t="s">
        <v>997</v>
      </c>
      <c r="N5270" s="1" t="s">
        <v>3921</v>
      </c>
      <c r="P5270" s="1" t="s">
        <v>3936</v>
      </c>
      <c r="Q5270" s="3">
        <v>0</v>
      </c>
      <c r="S5270" s="23" t="s">
        <v>5949</v>
      </c>
      <c r="W5270" s="45" t="str">
        <f>HYPERLINK("http://ictvonline.org/taxonomy/p/taxonomy-history?taxnode_id=201854427","ICTVonline=201854427")</f>
        <v>ICTVonline=201854427</v>
      </c>
      <c r="AA5270" s="1">
        <v>201850000</v>
      </c>
      <c r="AB5270" s="1">
        <v>34</v>
      </c>
    </row>
    <row r="5271" spans="1:28" x14ac:dyDescent="0.15">
      <c r="A5271" s="1">
        <v>13120</v>
      </c>
      <c r="L5271" s="1" t="s">
        <v>997</v>
      </c>
      <c r="N5271" s="1" t="s">
        <v>3921</v>
      </c>
      <c r="P5271" s="1" t="s">
        <v>3937</v>
      </c>
      <c r="Q5271" s="3">
        <v>0</v>
      </c>
      <c r="S5271" s="23" t="s">
        <v>5949</v>
      </c>
      <c r="W5271" s="45" t="str">
        <f>HYPERLINK("http://ictvonline.org/taxonomy/p/taxonomy-history?taxnode_id=201854428","ICTVonline=201854428")</f>
        <v>ICTVonline=201854428</v>
      </c>
      <c r="AA5271" s="1">
        <v>201850000</v>
      </c>
      <c r="AB5271" s="1">
        <v>34</v>
      </c>
    </row>
    <row r="5272" spans="1:28" x14ac:dyDescent="0.15">
      <c r="A5272" s="1">
        <v>13122</v>
      </c>
      <c r="L5272" s="1" t="s">
        <v>997</v>
      </c>
      <c r="N5272" s="1" t="s">
        <v>3921</v>
      </c>
      <c r="P5272" s="1" t="s">
        <v>3938</v>
      </c>
      <c r="Q5272" s="3">
        <v>0</v>
      </c>
      <c r="S5272" s="23" t="s">
        <v>5949</v>
      </c>
      <c r="W5272" s="45" t="str">
        <f>HYPERLINK("http://ictvonline.org/taxonomy/p/taxonomy-history?taxnode_id=201854429","ICTVonline=201854429")</f>
        <v>ICTVonline=201854429</v>
      </c>
      <c r="AA5272" s="1">
        <v>201850000</v>
      </c>
      <c r="AB5272" s="1">
        <v>34</v>
      </c>
    </row>
    <row r="5273" spans="1:28" x14ac:dyDescent="0.15">
      <c r="A5273" s="1">
        <v>13124</v>
      </c>
      <c r="L5273" s="1" t="s">
        <v>997</v>
      </c>
      <c r="N5273" s="1" t="s">
        <v>3921</v>
      </c>
      <c r="P5273" s="1" t="s">
        <v>7123</v>
      </c>
      <c r="Q5273" s="3">
        <v>0</v>
      </c>
      <c r="S5273" s="23" t="s">
        <v>5949</v>
      </c>
      <c r="T5273" s="23" t="s">
        <v>4929</v>
      </c>
      <c r="U5273" s="3">
        <v>34</v>
      </c>
      <c r="V5273" s="3" t="s">
        <v>7124</v>
      </c>
      <c r="W5273" s="45" t="str">
        <f>HYPERLINK("http://ictvonline.org/taxonomy/p/taxonomy-history?taxnode_id=201856343","ICTVonline=201856343")</f>
        <v>ICTVonline=201856343</v>
      </c>
      <c r="AA5273" s="1">
        <v>201850000</v>
      </c>
      <c r="AB5273" s="1">
        <v>34</v>
      </c>
    </row>
    <row r="5274" spans="1:28" x14ac:dyDescent="0.15">
      <c r="A5274" s="1">
        <v>13126</v>
      </c>
      <c r="L5274" s="1" t="s">
        <v>997</v>
      </c>
      <c r="N5274" s="1" t="s">
        <v>3921</v>
      </c>
      <c r="P5274" s="1" t="s">
        <v>7125</v>
      </c>
      <c r="Q5274" s="3">
        <v>0</v>
      </c>
      <c r="S5274" s="23" t="s">
        <v>5949</v>
      </c>
      <c r="T5274" s="23" t="s">
        <v>4929</v>
      </c>
      <c r="U5274" s="3">
        <v>34</v>
      </c>
      <c r="V5274" s="3" t="s">
        <v>7124</v>
      </c>
      <c r="W5274" s="45" t="str">
        <f>HYPERLINK("http://ictvonline.org/taxonomy/p/taxonomy-history?taxnode_id=201856344","ICTVonline=201856344")</f>
        <v>ICTVonline=201856344</v>
      </c>
      <c r="AA5274" s="1">
        <v>201850000</v>
      </c>
      <c r="AB5274" s="1">
        <v>34</v>
      </c>
    </row>
    <row r="5275" spans="1:28" x14ac:dyDescent="0.15">
      <c r="A5275" s="1">
        <v>13128</v>
      </c>
      <c r="L5275" s="1" t="s">
        <v>997</v>
      </c>
      <c r="N5275" s="1" t="s">
        <v>3921</v>
      </c>
      <c r="P5275" s="1" t="s">
        <v>3939</v>
      </c>
      <c r="Q5275" s="3">
        <v>0</v>
      </c>
      <c r="S5275" s="23" t="s">
        <v>5949</v>
      </c>
      <c r="W5275" s="45" t="str">
        <f>HYPERLINK("http://ictvonline.org/taxonomy/p/taxonomy-history?taxnode_id=201854430","ICTVonline=201854430")</f>
        <v>ICTVonline=201854430</v>
      </c>
      <c r="AA5275" s="1">
        <v>201850000</v>
      </c>
      <c r="AB5275" s="1">
        <v>34</v>
      </c>
    </row>
    <row r="5276" spans="1:28" x14ac:dyDescent="0.15">
      <c r="A5276" s="1">
        <v>13130</v>
      </c>
      <c r="L5276" s="1" t="s">
        <v>997</v>
      </c>
      <c r="N5276" s="1" t="s">
        <v>3921</v>
      </c>
      <c r="P5276" s="1" t="s">
        <v>3940</v>
      </c>
      <c r="Q5276" s="3">
        <v>1</v>
      </c>
      <c r="S5276" s="23" t="s">
        <v>5949</v>
      </c>
      <c r="W5276" s="45" t="str">
        <f>HYPERLINK("http://ictvonline.org/taxonomy/p/taxonomy-history?taxnode_id=201854431","ICTVonline=201854431")</f>
        <v>ICTVonline=201854431</v>
      </c>
      <c r="AA5276" s="1">
        <v>201850000</v>
      </c>
      <c r="AB5276" s="1">
        <v>34</v>
      </c>
    </row>
    <row r="5277" spans="1:28" x14ac:dyDescent="0.15">
      <c r="A5277" s="1">
        <v>13132</v>
      </c>
      <c r="L5277" s="1" t="s">
        <v>997</v>
      </c>
      <c r="N5277" s="1" t="s">
        <v>3921</v>
      </c>
      <c r="P5277" s="1" t="s">
        <v>3941</v>
      </c>
      <c r="Q5277" s="3">
        <v>0</v>
      </c>
      <c r="S5277" s="23" t="s">
        <v>5949</v>
      </c>
      <c r="W5277" s="45" t="str">
        <f>HYPERLINK("http://ictvonline.org/taxonomy/p/taxonomy-history?taxnode_id=201854432","ICTVonline=201854432")</f>
        <v>ICTVonline=201854432</v>
      </c>
      <c r="AA5277" s="1">
        <v>201850000</v>
      </c>
      <c r="AB5277" s="1">
        <v>34</v>
      </c>
    </row>
    <row r="5278" spans="1:28" x14ac:dyDescent="0.15">
      <c r="A5278" s="1">
        <v>13134</v>
      </c>
      <c r="L5278" s="1" t="s">
        <v>997</v>
      </c>
      <c r="N5278" s="1" t="s">
        <v>3921</v>
      </c>
      <c r="P5278" s="1" t="s">
        <v>3942</v>
      </c>
      <c r="Q5278" s="3">
        <v>0</v>
      </c>
      <c r="S5278" s="23" t="s">
        <v>5949</v>
      </c>
      <c r="W5278" s="45" t="str">
        <f>HYPERLINK("http://ictvonline.org/taxonomy/p/taxonomy-history?taxnode_id=201854433","ICTVonline=201854433")</f>
        <v>ICTVonline=201854433</v>
      </c>
      <c r="AA5278" s="1">
        <v>201850000</v>
      </c>
      <c r="AB5278" s="1">
        <v>34</v>
      </c>
    </row>
    <row r="5279" spans="1:28" x14ac:dyDescent="0.15">
      <c r="A5279" s="1">
        <v>13136</v>
      </c>
      <c r="L5279" s="1" t="s">
        <v>997</v>
      </c>
      <c r="N5279" s="1" t="s">
        <v>3921</v>
      </c>
      <c r="P5279" s="1" t="s">
        <v>3943</v>
      </c>
      <c r="Q5279" s="3">
        <v>0</v>
      </c>
      <c r="S5279" s="23" t="s">
        <v>5949</v>
      </c>
      <c r="W5279" s="45" t="str">
        <f>HYPERLINK("http://ictvonline.org/taxonomy/p/taxonomy-history?taxnode_id=201854434","ICTVonline=201854434")</f>
        <v>ICTVonline=201854434</v>
      </c>
      <c r="AA5279" s="1">
        <v>201850000</v>
      </c>
      <c r="AB5279" s="1">
        <v>34</v>
      </c>
    </row>
    <row r="5280" spans="1:28" x14ac:dyDescent="0.15">
      <c r="A5280" s="1">
        <v>13138</v>
      </c>
      <c r="L5280" s="1" t="s">
        <v>997</v>
      </c>
      <c r="N5280" s="1" t="s">
        <v>3921</v>
      </c>
      <c r="P5280" s="1" t="s">
        <v>3944</v>
      </c>
      <c r="Q5280" s="3">
        <v>0</v>
      </c>
      <c r="S5280" s="23" t="s">
        <v>5949</v>
      </c>
      <c r="W5280" s="45" t="str">
        <f>HYPERLINK("http://ictvonline.org/taxonomy/p/taxonomy-history?taxnode_id=201854435","ICTVonline=201854435")</f>
        <v>ICTVonline=201854435</v>
      </c>
      <c r="AA5280" s="1">
        <v>201850000</v>
      </c>
      <c r="AB5280" s="1">
        <v>34</v>
      </c>
    </row>
    <row r="5281" spans="1:28" x14ac:dyDescent="0.15">
      <c r="A5281" s="1">
        <v>13140</v>
      </c>
      <c r="L5281" s="1" t="s">
        <v>997</v>
      </c>
      <c r="N5281" s="1" t="s">
        <v>3921</v>
      </c>
      <c r="P5281" s="1" t="s">
        <v>3945</v>
      </c>
      <c r="Q5281" s="3">
        <v>0</v>
      </c>
      <c r="S5281" s="23" t="s">
        <v>5949</v>
      </c>
      <c r="W5281" s="45" t="str">
        <f>HYPERLINK("http://ictvonline.org/taxonomy/p/taxonomy-history?taxnode_id=201854436","ICTVonline=201854436")</f>
        <v>ICTVonline=201854436</v>
      </c>
      <c r="AA5281" s="1">
        <v>201850000</v>
      </c>
      <c r="AB5281" s="1">
        <v>34</v>
      </c>
    </row>
    <row r="5282" spans="1:28" x14ac:dyDescent="0.15">
      <c r="A5282" s="1">
        <v>13142</v>
      </c>
      <c r="L5282" s="1" t="s">
        <v>997</v>
      </c>
      <c r="N5282" s="1" t="s">
        <v>3921</v>
      </c>
      <c r="P5282" s="1" t="s">
        <v>3946</v>
      </c>
      <c r="Q5282" s="3">
        <v>0</v>
      </c>
      <c r="S5282" s="23" t="s">
        <v>5949</v>
      </c>
      <c r="W5282" s="45" t="str">
        <f>HYPERLINK("http://ictvonline.org/taxonomy/p/taxonomy-history?taxnode_id=201854437","ICTVonline=201854437")</f>
        <v>ICTVonline=201854437</v>
      </c>
      <c r="AA5282" s="1">
        <v>201850000</v>
      </c>
      <c r="AB5282" s="1">
        <v>34</v>
      </c>
    </row>
    <row r="5283" spans="1:28" x14ac:dyDescent="0.15">
      <c r="A5283" s="1">
        <v>13144</v>
      </c>
      <c r="L5283" s="1" t="s">
        <v>997</v>
      </c>
      <c r="N5283" s="1" t="s">
        <v>3921</v>
      </c>
      <c r="P5283" s="1" t="s">
        <v>3947</v>
      </c>
      <c r="Q5283" s="3">
        <v>0</v>
      </c>
      <c r="S5283" s="23" t="s">
        <v>5949</v>
      </c>
      <c r="W5283" s="45" t="str">
        <f>HYPERLINK("http://ictvonline.org/taxonomy/p/taxonomy-history?taxnode_id=201854438","ICTVonline=201854438")</f>
        <v>ICTVonline=201854438</v>
      </c>
      <c r="AA5283" s="1">
        <v>201850000</v>
      </c>
      <c r="AB5283" s="1">
        <v>34</v>
      </c>
    </row>
    <row r="5284" spans="1:28" x14ac:dyDescent="0.15">
      <c r="A5284" s="1">
        <v>13146</v>
      </c>
      <c r="L5284" s="1" t="s">
        <v>997</v>
      </c>
      <c r="N5284" s="1" t="s">
        <v>3921</v>
      </c>
      <c r="P5284" s="1" t="s">
        <v>3948</v>
      </c>
      <c r="Q5284" s="3">
        <v>0</v>
      </c>
      <c r="S5284" s="23" t="s">
        <v>5949</v>
      </c>
      <c r="W5284" s="45" t="str">
        <f>HYPERLINK("http://ictvonline.org/taxonomy/p/taxonomy-history?taxnode_id=201854439","ICTVonline=201854439")</f>
        <v>ICTVonline=201854439</v>
      </c>
      <c r="AA5284" s="1">
        <v>201850000</v>
      </c>
      <c r="AB5284" s="1">
        <v>34</v>
      </c>
    </row>
    <row r="5285" spans="1:28" x14ac:dyDescent="0.15">
      <c r="A5285" s="1">
        <v>13148</v>
      </c>
      <c r="L5285" s="1" t="s">
        <v>997</v>
      </c>
      <c r="N5285" s="1" t="s">
        <v>3921</v>
      </c>
      <c r="P5285" s="1" t="s">
        <v>3949</v>
      </c>
      <c r="Q5285" s="3">
        <v>0</v>
      </c>
      <c r="S5285" s="23" t="s">
        <v>5949</v>
      </c>
      <c r="W5285" s="45" t="str">
        <f>HYPERLINK("http://ictvonline.org/taxonomy/p/taxonomy-history?taxnode_id=201854440","ICTVonline=201854440")</f>
        <v>ICTVonline=201854440</v>
      </c>
      <c r="AA5285" s="1">
        <v>201850000</v>
      </c>
      <c r="AB5285" s="1">
        <v>34</v>
      </c>
    </row>
    <row r="5286" spans="1:28" x14ac:dyDescent="0.15">
      <c r="A5286" s="1">
        <v>13150</v>
      </c>
      <c r="L5286" s="1" t="s">
        <v>997</v>
      </c>
      <c r="N5286" s="1" t="s">
        <v>3921</v>
      </c>
      <c r="P5286" s="1" t="s">
        <v>3950</v>
      </c>
      <c r="Q5286" s="3">
        <v>0</v>
      </c>
      <c r="S5286" s="23" t="s">
        <v>5949</v>
      </c>
      <c r="W5286" s="45" t="str">
        <f>HYPERLINK("http://ictvonline.org/taxonomy/p/taxonomy-history?taxnode_id=201854441","ICTVonline=201854441")</f>
        <v>ICTVonline=201854441</v>
      </c>
      <c r="AA5286" s="1">
        <v>201850000</v>
      </c>
      <c r="AB5286" s="1">
        <v>34</v>
      </c>
    </row>
    <row r="5287" spans="1:28" x14ac:dyDescent="0.15">
      <c r="A5287" s="1">
        <v>13152</v>
      </c>
      <c r="L5287" s="1" t="s">
        <v>997</v>
      </c>
      <c r="N5287" s="1" t="s">
        <v>3921</v>
      </c>
      <c r="P5287" s="1" t="s">
        <v>5514</v>
      </c>
      <c r="Q5287" s="3">
        <v>0</v>
      </c>
      <c r="S5287" s="23" t="s">
        <v>5949</v>
      </c>
      <c r="W5287" s="45" t="str">
        <f>HYPERLINK("http://ictvonline.org/taxonomy/p/taxonomy-history?taxnode_id=201855904","ICTVonline=201855904")</f>
        <v>ICTVonline=201855904</v>
      </c>
      <c r="AA5287" s="1">
        <v>201850000</v>
      </c>
      <c r="AB5287" s="1">
        <v>34</v>
      </c>
    </row>
    <row r="5288" spans="1:28" x14ac:dyDescent="0.15">
      <c r="A5288" s="1">
        <v>13154</v>
      </c>
      <c r="L5288" s="1" t="s">
        <v>997</v>
      </c>
      <c r="N5288" s="1" t="s">
        <v>3921</v>
      </c>
      <c r="P5288" s="1" t="s">
        <v>3951</v>
      </c>
      <c r="Q5288" s="3">
        <v>0</v>
      </c>
      <c r="S5288" s="23" t="s">
        <v>5949</v>
      </c>
      <c r="W5288" s="45" t="str">
        <f>HYPERLINK("http://ictvonline.org/taxonomy/p/taxonomy-history?taxnode_id=201854442","ICTVonline=201854442")</f>
        <v>ICTVonline=201854442</v>
      </c>
      <c r="AA5288" s="1">
        <v>201850000</v>
      </c>
      <c r="AB5288" s="1">
        <v>34</v>
      </c>
    </row>
    <row r="5289" spans="1:28" x14ac:dyDescent="0.15">
      <c r="A5289" s="1">
        <v>13156</v>
      </c>
      <c r="L5289" s="1" t="s">
        <v>997</v>
      </c>
      <c r="N5289" s="1" t="s">
        <v>3921</v>
      </c>
      <c r="P5289" s="1" t="s">
        <v>3952</v>
      </c>
      <c r="Q5289" s="3">
        <v>0</v>
      </c>
      <c r="S5289" s="23" t="s">
        <v>5949</v>
      </c>
      <c r="W5289" s="45" t="str">
        <f>HYPERLINK("http://ictvonline.org/taxonomy/p/taxonomy-history?taxnode_id=201854443","ICTVonline=201854443")</f>
        <v>ICTVonline=201854443</v>
      </c>
      <c r="AA5289" s="1">
        <v>201850000</v>
      </c>
      <c r="AB5289" s="1">
        <v>34</v>
      </c>
    </row>
    <row r="5290" spans="1:28" x14ac:dyDescent="0.15">
      <c r="A5290" s="1">
        <v>13158</v>
      </c>
      <c r="L5290" s="1" t="s">
        <v>997</v>
      </c>
      <c r="N5290" s="1" t="s">
        <v>3921</v>
      </c>
      <c r="P5290" s="1" t="s">
        <v>3953</v>
      </c>
      <c r="Q5290" s="3">
        <v>0</v>
      </c>
      <c r="S5290" s="23" t="s">
        <v>5949</v>
      </c>
      <c r="W5290" s="45" t="str">
        <f>HYPERLINK("http://ictvonline.org/taxonomy/p/taxonomy-history?taxnode_id=201854444","ICTVonline=201854444")</f>
        <v>ICTVonline=201854444</v>
      </c>
      <c r="AA5290" s="1">
        <v>201850000</v>
      </c>
      <c r="AB5290" s="1">
        <v>34</v>
      </c>
    </row>
    <row r="5291" spans="1:28" x14ac:dyDescent="0.15">
      <c r="A5291" s="1">
        <v>13160</v>
      </c>
      <c r="L5291" s="1" t="s">
        <v>997</v>
      </c>
      <c r="N5291" s="1" t="s">
        <v>3921</v>
      </c>
      <c r="P5291" s="1" t="s">
        <v>3954</v>
      </c>
      <c r="Q5291" s="3">
        <v>0</v>
      </c>
      <c r="S5291" s="23" t="s">
        <v>5949</v>
      </c>
      <c r="W5291" s="45" t="str">
        <f>HYPERLINK("http://ictvonline.org/taxonomy/p/taxonomy-history?taxnode_id=201854445","ICTVonline=201854445")</f>
        <v>ICTVonline=201854445</v>
      </c>
      <c r="AA5291" s="1">
        <v>201850000</v>
      </c>
      <c r="AB5291" s="1">
        <v>34</v>
      </c>
    </row>
    <row r="5292" spans="1:28" x14ac:dyDescent="0.15">
      <c r="A5292" s="1">
        <v>13162</v>
      </c>
      <c r="L5292" s="1" t="s">
        <v>997</v>
      </c>
      <c r="N5292" s="1" t="s">
        <v>3921</v>
      </c>
      <c r="P5292" s="1" t="s">
        <v>3955</v>
      </c>
      <c r="Q5292" s="3">
        <v>0</v>
      </c>
      <c r="S5292" s="23" t="s">
        <v>5949</v>
      </c>
      <c r="W5292" s="45" t="str">
        <f>HYPERLINK("http://ictvonline.org/taxonomy/p/taxonomy-history?taxnode_id=201854446","ICTVonline=201854446")</f>
        <v>ICTVonline=201854446</v>
      </c>
      <c r="AA5292" s="1">
        <v>201850000</v>
      </c>
      <c r="AB5292" s="1">
        <v>34</v>
      </c>
    </row>
    <row r="5293" spans="1:28" x14ac:dyDescent="0.15">
      <c r="A5293" s="1">
        <v>13164</v>
      </c>
      <c r="L5293" s="1" t="s">
        <v>997</v>
      </c>
      <c r="N5293" s="1" t="s">
        <v>3921</v>
      </c>
      <c r="P5293" s="1" t="s">
        <v>4822</v>
      </c>
      <c r="Q5293" s="3">
        <v>0</v>
      </c>
      <c r="S5293" s="23" t="s">
        <v>5949</v>
      </c>
      <c r="W5293" s="45" t="str">
        <f>HYPERLINK("http://ictvonline.org/taxonomy/p/taxonomy-history?taxnode_id=201854447","ICTVonline=201854447")</f>
        <v>ICTVonline=201854447</v>
      </c>
      <c r="AA5293" s="1">
        <v>201850000</v>
      </c>
      <c r="AB5293" s="1">
        <v>34</v>
      </c>
    </row>
    <row r="5294" spans="1:28" x14ac:dyDescent="0.15">
      <c r="A5294" s="1">
        <v>13166</v>
      </c>
      <c r="L5294" s="1" t="s">
        <v>997</v>
      </c>
      <c r="N5294" s="1" t="s">
        <v>3921</v>
      </c>
      <c r="P5294" s="1" t="s">
        <v>7126</v>
      </c>
      <c r="Q5294" s="3">
        <v>0</v>
      </c>
      <c r="S5294" s="23" t="s">
        <v>5949</v>
      </c>
      <c r="T5294" s="23" t="s">
        <v>6499</v>
      </c>
      <c r="U5294" s="3">
        <v>34</v>
      </c>
      <c r="V5294" s="3" t="s">
        <v>7124</v>
      </c>
      <c r="W5294" s="45" t="str">
        <f>HYPERLINK("http://ictvonline.org/taxonomy/p/taxonomy-history?taxnode_id=201854426","ICTVonline=201854426")</f>
        <v>ICTVonline=201854426</v>
      </c>
      <c r="AA5294" s="1">
        <v>201850000</v>
      </c>
      <c r="AB5294" s="1">
        <v>34</v>
      </c>
    </row>
    <row r="5295" spans="1:28" x14ac:dyDescent="0.15">
      <c r="A5295" s="1">
        <v>13168</v>
      </c>
      <c r="L5295" s="1" t="s">
        <v>997</v>
      </c>
      <c r="N5295" s="1" t="s">
        <v>3921</v>
      </c>
      <c r="P5295" s="1" t="s">
        <v>7127</v>
      </c>
      <c r="Q5295" s="3">
        <v>0</v>
      </c>
      <c r="S5295" s="23" t="s">
        <v>5949</v>
      </c>
      <c r="T5295" s="23" t="s">
        <v>4929</v>
      </c>
      <c r="U5295" s="3">
        <v>34</v>
      </c>
      <c r="V5295" s="3" t="s">
        <v>7124</v>
      </c>
      <c r="W5295" s="45" t="str">
        <f>HYPERLINK("http://ictvonline.org/taxonomy/p/taxonomy-history?taxnode_id=201856345","ICTVonline=201856345")</f>
        <v>ICTVonline=201856345</v>
      </c>
      <c r="AA5295" s="1">
        <v>201850000</v>
      </c>
      <c r="AB5295" s="1">
        <v>34</v>
      </c>
    </row>
    <row r="5296" spans="1:28" x14ac:dyDescent="0.15">
      <c r="A5296" s="1">
        <v>13170</v>
      </c>
      <c r="L5296" s="1" t="s">
        <v>997</v>
      </c>
      <c r="N5296" s="1" t="s">
        <v>3921</v>
      </c>
      <c r="P5296" s="1" t="s">
        <v>7128</v>
      </c>
      <c r="Q5296" s="3">
        <v>0</v>
      </c>
      <c r="S5296" s="23" t="s">
        <v>5949</v>
      </c>
      <c r="T5296" s="23" t="s">
        <v>4929</v>
      </c>
      <c r="U5296" s="3">
        <v>34</v>
      </c>
      <c r="V5296" s="3" t="s">
        <v>7124</v>
      </c>
      <c r="W5296" s="45" t="str">
        <f>HYPERLINK("http://ictvonline.org/taxonomy/p/taxonomy-history?taxnode_id=201856346","ICTVonline=201856346")</f>
        <v>ICTVonline=201856346</v>
      </c>
      <c r="AA5296" s="1">
        <v>201850000</v>
      </c>
      <c r="AB5296" s="1">
        <v>34</v>
      </c>
    </row>
    <row r="5297" spans="1:28" x14ac:dyDescent="0.15">
      <c r="A5297" s="1">
        <v>13172</v>
      </c>
      <c r="L5297" s="1" t="s">
        <v>997</v>
      </c>
      <c r="N5297" s="1" t="s">
        <v>3921</v>
      </c>
      <c r="P5297" s="1" t="s">
        <v>3956</v>
      </c>
      <c r="Q5297" s="3">
        <v>0</v>
      </c>
      <c r="S5297" s="23" t="s">
        <v>5949</v>
      </c>
      <c r="W5297" s="45" t="str">
        <f>HYPERLINK("http://ictvonline.org/taxonomy/p/taxonomy-history?taxnode_id=201854448","ICTVonline=201854448")</f>
        <v>ICTVonline=201854448</v>
      </c>
      <c r="AA5297" s="1">
        <v>201850000</v>
      </c>
      <c r="AB5297" s="1">
        <v>34</v>
      </c>
    </row>
    <row r="5298" spans="1:28" x14ac:dyDescent="0.15">
      <c r="A5298" s="1">
        <v>13176</v>
      </c>
      <c r="L5298" s="1" t="s">
        <v>997</v>
      </c>
      <c r="N5298" s="1" t="s">
        <v>3957</v>
      </c>
      <c r="P5298" s="1" t="s">
        <v>3958</v>
      </c>
      <c r="Q5298" s="3">
        <v>0</v>
      </c>
      <c r="S5298" s="23" t="s">
        <v>5949</v>
      </c>
      <c r="W5298" s="45" t="str">
        <f>HYPERLINK("http://ictvonline.org/taxonomy/p/taxonomy-history?taxnode_id=201854450","ICTVonline=201854450")</f>
        <v>ICTVonline=201854450</v>
      </c>
      <c r="AA5298" s="1">
        <v>201850000</v>
      </c>
      <c r="AB5298" s="1">
        <v>34</v>
      </c>
    </row>
    <row r="5299" spans="1:28" x14ac:dyDescent="0.15">
      <c r="A5299" s="1">
        <v>13178</v>
      </c>
      <c r="L5299" s="1" t="s">
        <v>997</v>
      </c>
      <c r="N5299" s="1" t="s">
        <v>3957</v>
      </c>
      <c r="P5299" s="1" t="s">
        <v>3959</v>
      </c>
      <c r="Q5299" s="3">
        <v>0</v>
      </c>
      <c r="S5299" s="23" t="s">
        <v>5949</v>
      </c>
      <c r="W5299" s="45" t="str">
        <f>HYPERLINK("http://ictvonline.org/taxonomy/p/taxonomy-history?taxnode_id=201854451","ICTVonline=201854451")</f>
        <v>ICTVonline=201854451</v>
      </c>
      <c r="AA5299" s="1">
        <v>201850000</v>
      </c>
      <c r="AB5299" s="1">
        <v>34</v>
      </c>
    </row>
    <row r="5300" spans="1:28" x14ac:dyDescent="0.15">
      <c r="A5300" s="1">
        <v>13180</v>
      </c>
      <c r="L5300" s="1" t="s">
        <v>997</v>
      </c>
      <c r="N5300" s="1" t="s">
        <v>3957</v>
      </c>
      <c r="P5300" s="1" t="s">
        <v>7129</v>
      </c>
      <c r="Q5300" s="3">
        <v>0</v>
      </c>
      <c r="S5300" s="23" t="s">
        <v>5949</v>
      </c>
      <c r="T5300" s="23" t="s">
        <v>4929</v>
      </c>
      <c r="U5300" s="3">
        <v>34</v>
      </c>
      <c r="V5300" s="3" t="s">
        <v>7124</v>
      </c>
      <c r="W5300" s="45" t="str">
        <f>HYPERLINK("http://ictvonline.org/taxonomy/p/taxonomy-history?taxnode_id=201856347","ICTVonline=201856347")</f>
        <v>ICTVonline=201856347</v>
      </c>
      <c r="AA5300" s="1">
        <v>201850000</v>
      </c>
      <c r="AB5300" s="1">
        <v>34</v>
      </c>
    </row>
    <row r="5301" spans="1:28" x14ac:dyDescent="0.15">
      <c r="A5301" s="1">
        <v>13182</v>
      </c>
      <c r="L5301" s="1" t="s">
        <v>997</v>
      </c>
      <c r="N5301" s="1" t="s">
        <v>3957</v>
      </c>
      <c r="P5301" s="1" t="s">
        <v>3960</v>
      </c>
      <c r="Q5301" s="3">
        <v>0</v>
      </c>
      <c r="S5301" s="23" t="s">
        <v>5949</v>
      </c>
      <c r="W5301" s="45" t="str">
        <f>HYPERLINK("http://ictvonline.org/taxonomy/p/taxonomy-history?taxnode_id=201854452","ICTVonline=201854452")</f>
        <v>ICTVonline=201854452</v>
      </c>
      <c r="AA5301" s="1">
        <v>201850000</v>
      </c>
      <c r="AB5301" s="1">
        <v>34</v>
      </c>
    </row>
    <row r="5302" spans="1:28" x14ac:dyDescent="0.15">
      <c r="A5302" s="1">
        <v>13184</v>
      </c>
      <c r="L5302" s="1" t="s">
        <v>997</v>
      </c>
      <c r="N5302" s="1" t="s">
        <v>3957</v>
      </c>
      <c r="P5302" s="1" t="s">
        <v>3961</v>
      </c>
      <c r="Q5302" s="3">
        <v>0</v>
      </c>
      <c r="S5302" s="23" t="s">
        <v>5949</v>
      </c>
      <c r="W5302" s="45" t="str">
        <f>HYPERLINK("http://ictvonline.org/taxonomy/p/taxonomy-history?taxnode_id=201854453","ICTVonline=201854453")</f>
        <v>ICTVonline=201854453</v>
      </c>
      <c r="AA5302" s="1">
        <v>201850000</v>
      </c>
      <c r="AB5302" s="1">
        <v>34</v>
      </c>
    </row>
    <row r="5303" spans="1:28" x14ac:dyDescent="0.15">
      <c r="A5303" s="1">
        <v>13186</v>
      </c>
      <c r="L5303" s="1" t="s">
        <v>997</v>
      </c>
      <c r="N5303" s="1" t="s">
        <v>3957</v>
      </c>
      <c r="P5303" s="1" t="s">
        <v>3962</v>
      </c>
      <c r="Q5303" s="3">
        <v>0</v>
      </c>
      <c r="S5303" s="23" t="s">
        <v>5949</v>
      </c>
      <c r="W5303" s="45" t="str">
        <f>HYPERLINK("http://ictvonline.org/taxonomy/p/taxonomy-history?taxnode_id=201854454","ICTVonline=201854454")</f>
        <v>ICTVonline=201854454</v>
      </c>
      <c r="AA5303" s="1">
        <v>201850000</v>
      </c>
      <c r="AB5303" s="1">
        <v>34</v>
      </c>
    </row>
    <row r="5304" spans="1:28" x14ac:dyDescent="0.15">
      <c r="A5304" s="1">
        <v>13188</v>
      </c>
      <c r="L5304" s="1" t="s">
        <v>997</v>
      </c>
      <c r="N5304" s="1" t="s">
        <v>3957</v>
      </c>
      <c r="P5304" s="1" t="s">
        <v>3963</v>
      </c>
      <c r="Q5304" s="3">
        <v>0</v>
      </c>
      <c r="S5304" s="23" t="s">
        <v>5949</v>
      </c>
      <c r="W5304" s="45" t="str">
        <f>HYPERLINK("http://ictvonline.org/taxonomy/p/taxonomy-history?taxnode_id=201854455","ICTVonline=201854455")</f>
        <v>ICTVonline=201854455</v>
      </c>
      <c r="AA5304" s="1">
        <v>201850000</v>
      </c>
      <c r="AB5304" s="1">
        <v>34</v>
      </c>
    </row>
    <row r="5305" spans="1:28" x14ac:dyDescent="0.15">
      <c r="A5305" s="1">
        <v>13190</v>
      </c>
      <c r="L5305" s="1" t="s">
        <v>997</v>
      </c>
      <c r="N5305" s="1" t="s">
        <v>3957</v>
      </c>
      <c r="P5305" s="1" t="s">
        <v>3964</v>
      </c>
      <c r="Q5305" s="3">
        <v>0</v>
      </c>
      <c r="S5305" s="23" t="s">
        <v>5949</v>
      </c>
      <c r="W5305" s="45" t="str">
        <f>HYPERLINK("http://ictvonline.org/taxonomy/p/taxonomy-history?taxnode_id=201854456","ICTVonline=201854456")</f>
        <v>ICTVonline=201854456</v>
      </c>
      <c r="AA5305" s="1">
        <v>201850000</v>
      </c>
      <c r="AB5305" s="1">
        <v>34</v>
      </c>
    </row>
    <row r="5306" spans="1:28" x14ac:dyDescent="0.15">
      <c r="A5306" s="1">
        <v>13192</v>
      </c>
      <c r="L5306" s="1" t="s">
        <v>997</v>
      </c>
      <c r="N5306" s="1" t="s">
        <v>3957</v>
      </c>
      <c r="P5306" s="1" t="s">
        <v>3965</v>
      </c>
      <c r="Q5306" s="3">
        <v>0</v>
      </c>
      <c r="S5306" s="23" t="s">
        <v>5949</v>
      </c>
      <c r="W5306" s="45" t="str">
        <f>HYPERLINK("http://ictvonline.org/taxonomy/p/taxonomy-history?taxnode_id=201854457","ICTVonline=201854457")</f>
        <v>ICTVonline=201854457</v>
      </c>
      <c r="AA5306" s="1">
        <v>201850000</v>
      </c>
      <c r="AB5306" s="1">
        <v>34</v>
      </c>
    </row>
    <row r="5307" spans="1:28" x14ac:dyDescent="0.15">
      <c r="A5307" s="1">
        <v>13194</v>
      </c>
      <c r="L5307" s="1" t="s">
        <v>997</v>
      </c>
      <c r="N5307" s="1" t="s">
        <v>3957</v>
      </c>
      <c r="P5307" s="1" t="s">
        <v>3966</v>
      </c>
      <c r="Q5307" s="3">
        <v>0</v>
      </c>
      <c r="S5307" s="23" t="s">
        <v>5949</v>
      </c>
      <c r="W5307" s="45" t="str">
        <f>HYPERLINK("http://ictvonline.org/taxonomy/p/taxonomy-history?taxnode_id=201854458","ICTVonline=201854458")</f>
        <v>ICTVonline=201854458</v>
      </c>
      <c r="AA5307" s="1">
        <v>201850000</v>
      </c>
      <c r="AB5307" s="1">
        <v>34</v>
      </c>
    </row>
    <row r="5308" spans="1:28" x14ac:dyDescent="0.15">
      <c r="A5308" s="1">
        <v>13196</v>
      </c>
      <c r="L5308" s="1" t="s">
        <v>997</v>
      </c>
      <c r="N5308" s="1" t="s">
        <v>3957</v>
      </c>
      <c r="P5308" s="1" t="s">
        <v>3967</v>
      </c>
      <c r="Q5308" s="3">
        <v>0</v>
      </c>
      <c r="S5308" s="23" t="s">
        <v>5949</v>
      </c>
      <c r="W5308" s="45" t="str">
        <f>HYPERLINK("http://ictvonline.org/taxonomy/p/taxonomy-history?taxnode_id=201854459","ICTVonline=201854459")</f>
        <v>ICTVonline=201854459</v>
      </c>
      <c r="AA5308" s="1">
        <v>201850000</v>
      </c>
      <c r="AB5308" s="1">
        <v>34</v>
      </c>
    </row>
    <row r="5309" spans="1:28" x14ac:dyDescent="0.15">
      <c r="A5309" s="1">
        <v>13198</v>
      </c>
      <c r="L5309" s="1" t="s">
        <v>997</v>
      </c>
      <c r="N5309" s="1" t="s">
        <v>3957</v>
      </c>
      <c r="P5309" s="1" t="s">
        <v>3968</v>
      </c>
      <c r="Q5309" s="3">
        <v>0</v>
      </c>
      <c r="S5309" s="23" t="s">
        <v>5949</v>
      </c>
      <c r="W5309" s="45" t="str">
        <f>HYPERLINK("http://ictvonline.org/taxonomy/p/taxonomy-history?taxnode_id=201854460","ICTVonline=201854460")</f>
        <v>ICTVonline=201854460</v>
      </c>
      <c r="AA5309" s="1">
        <v>201850000</v>
      </c>
      <c r="AB5309" s="1">
        <v>34</v>
      </c>
    </row>
    <row r="5310" spans="1:28" x14ac:dyDescent="0.15">
      <c r="A5310" s="1">
        <v>13200</v>
      </c>
      <c r="L5310" s="1" t="s">
        <v>997</v>
      </c>
      <c r="N5310" s="1" t="s">
        <v>3957</v>
      </c>
      <c r="P5310" s="1" t="s">
        <v>3969</v>
      </c>
      <c r="Q5310" s="3">
        <v>0</v>
      </c>
      <c r="S5310" s="23" t="s">
        <v>5949</v>
      </c>
      <c r="W5310" s="45" t="str">
        <f>HYPERLINK("http://ictvonline.org/taxonomy/p/taxonomy-history?taxnode_id=201854461","ICTVonline=201854461")</f>
        <v>ICTVonline=201854461</v>
      </c>
      <c r="AA5310" s="1">
        <v>201850000</v>
      </c>
      <c r="AB5310" s="1">
        <v>34</v>
      </c>
    </row>
    <row r="5311" spans="1:28" x14ac:dyDescent="0.15">
      <c r="A5311" s="1">
        <v>13202</v>
      </c>
      <c r="L5311" s="1" t="s">
        <v>997</v>
      </c>
      <c r="N5311" s="1" t="s">
        <v>3957</v>
      </c>
      <c r="P5311" s="1" t="s">
        <v>3970</v>
      </c>
      <c r="Q5311" s="3">
        <v>0</v>
      </c>
      <c r="S5311" s="23" t="s">
        <v>5949</v>
      </c>
      <c r="W5311" s="45" t="str">
        <f>HYPERLINK("http://ictvonline.org/taxonomy/p/taxonomy-history?taxnode_id=201854462","ICTVonline=201854462")</f>
        <v>ICTVonline=201854462</v>
      </c>
      <c r="AA5311" s="1">
        <v>201850000</v>
      </c>
      <c r="AB5311" s="1">
        <v>34</v>
      </c>
    </row>
    <row r="5312" spans="1:28" x14ac:dyDescent="0.15">
      <c r="A5312" s="1">
        <v>13204</v>
      </c>
      <c r="L5312" s="1" t="s">
        <v>997</v>
      </c>
      <c r="N5312" s="1" t="s">
        <v>3957</v>
      </c>
      <c r="P5312" s="1" t="s">
        <v>5515</v>
      </c>
      <c r="Q5312" s="3">
        <v>0</v>
      </c>
      <c r="S5312" s="23" t="s">
        <v>5949</v>
      </c>
      <c r="W5312" s="45" t="str">
        <f>HYPERLINK("http://ictvonline.org/taxonomy/p/taxonomy-history?taxnode_id=201855905","ICTVonline=201855905")</f>
        <v>ICTVonline=201855905</v>
      </c>
      <c r="AA5312" s="1">
        <v>201850000</v>
      </c>
      <c r="AB5312" s="1">
        <v>34</v>
      </c>
    </row>
    <row r="5313" spans="1:28" x14ac:dyDescent="0.15">
      <c r="A5313" s="1">
        <v>13206</v>
      </c>
      <c r="L5313" s="1" t="s">
        <v>997</v>
      </c>
      <c r="N5313" s="1" t="s">
        <v>3957</v>
      </c>
      <c r="P5313" s="1" t="s">
        <v>3971</v>
      </c>
      <c r="Q5313" s="3">
        <v>0</v>
      </c>
      <c r="S5313" s="23" t="s">
        <v>5949</v>
      </c>
      <c r="W5313" s="45" t="str">
        <f>HYPERLINK("http://ictvonline.org/taxonomy/p/taxonomy-history?taxnode_id=201854463","ICTVonline=201854463")</f>
        <v>ICTVonline=201854463</v>
      </c>
      <c r="AA5313" s="1">
        <v>201850000</v>
      </c>
      <c r="AB5313" s="1">
        <v>34</v>
      </c>
    </row>
    <row r="5314" spans="1:28" x14ac:dyDescent="0.15">
      <c r="A5314" s="1">
        <v>13208</v>
      </c>
      <c r="L5314" s="1" t="s">
        <v>997</v>
      </c>
      <c r="N5314" s="1" t="s">
        <v>3957</v>
      </c>
      <c r="P5314" s="1" t="s">
        <v>3972</v>
      </c>
      <c r="Q5314" s="3">
        <v>1</v>
      </c>
      <c r="S5314" s="23" t="s">
        <v>5949</v>
      </c>
      <c r="W5314" s="45" t="str">
        <f>HYPERLINK("http://ictvonline.org/taxonomy/p/taxonomy-history?taxnode_id=201854464","ICTVonline=201854464")</f>
        <v>ICTVonline=201854464</v>
      </c>
      <c r="AA5314" s="1">
        <v>201850000</v>
      </c>
      <c r="AB5314" s="1">
        <v>34</v>
      </c>
    </row>
    <row r="5315" spans="1:28" x14ac:dyDescent="0.15">
      <c r="A5315" s="1">
        <v>13210</v>
      </c>
      <c r="L5315" s="1" t="s">
        <v>997</v>
      </c>
      <c r="N5315" s="1" t="s">
        <v>3957</v>
      </c>
      <c r="P5315" s="1" t="s">
        <v>3973</v>
      </c>
      <c r="Q5315" s="3">
        <v>0</v>
      </c>
      <c r="S5315" s="23" t="s">
        <v>5949</v>
      </c>
      <c r="W5315" s="45" t="str">
        <f>HYPERLINK("http://ictvonline.org/taxonomy/p/taxonomy-history?taxnode_id=201854465","ICTVonline=201854465")</f>
        <v>ICTVonline=201854465</v>
      </c>
      <c r="AA5315" s="1">
        <v>201850000</v>
      </c>
      <c r="AB5315" s="1">
        <v>34</v>
      </c>
    </row>
    <row r="5316" spans="1:28" x14ac:dyDescent="0.15">
      <c r="A5316" s="1">
        <v>13212</v>
      </c>
      <c r="L5316" s="1" t="s">
        <v>997</v>
      </c>
      <c r="N5316" s="1" t="s">
        <v>3957</v>
      </c>
      <c r="P5316" s="1" t="s">
        <v>3974</v>
      </c>
      <c r="Q5316" s="3">
        <v>0</v>
      </c>
      <c r="S5316" s="23" t="s">
        <v>5949</v>
      </c>
      <c r="W5316" s="45" t="str">
        <f>HYPERLINK("http://ictvonline.org/taxonomy/p/taxonomy-history?taxnode_id=201854466","ICTVonline=201854466")</f>
        <v>ICTVonline=201854466</v>
      </c>
      <c r="AA5316" s="1">
        <v>201850000</v>
      </c>
      <c r="AB5316" s="1">
        <v>34</v>
      </c>
    </row>
    <row r="5317" spans="1:28" x14ac:dyDescent="0.15">
      <c r="A5317" s="1">
        <v>13214</v>
      </c>
      <c r="L5317" s="1" t="s">
        <v>997</v>
      </c>
      <c r="N5317" s="1" t="s">
        <v>3957</v>
      </c>
      <c r="P5317" s="1" t="s">
        <v>4823</v>
      </c>
      <c r="Q5317" s="3">
        <v>0</v>
      </c>
      <c r="S5317" s="23" t="s">
        <v>5949</v>
      </c>
      <c r="W5317" s="45" t="str">
        <f>HYPERLINK("http://ictvonline.org/taxonomy/p/taxonomy-history?taxnode_id=201854467","ICTVonline=201854467")</f>
        <v>ICTVonline=201854467</v>
      </c>
      <c r="AA5317" s="1">
        <v>201850000</v>
      </c>
      <c r="AB5317" s="1">
        <v>34</v>
      </c>
    </row>
    <row r="5318" spans="1:28" x14ac:dyDescent="0.15">
      <c r="A5318" s="1">
        <v>13216</v>
      </c>
      <c r="L5318" s="1" t="s">
        <v>997</v>
      </c>
      <c r="N5318" s="1" t="s">
        <v>3957</v>
      </c>
      <c r="P5318" s="1" t="s">
        <v>3975</v>
      </c>
      <c r="Q5318" s="3">
        <v>0</v>
      </c>
      <c r="S5318" s="23" t="s">
        <v>5949</v>
      </c>
      <c r="W5318" s="45" t="str">
        <f>HYPERLINK("http://ictvonline.org/taxonomy/p/taxonomy-history?taxnode_id=201854468","ICTVonline=201854468")</f>
        <v>ICTVonline=201854468</v>
      </c>
      <c r="AA5318" s="1">
        <v>201850000</v>
      </c>
      <c r="AB5318" s="1">
        <v>34</v>
      </c>
    </row>
    <row r="5319" spans="1:28" x14ac:dyDescent="0.15">
      <c r="A5319" s="1">
        <v>13218</v>
      </c>
      <c r="L5319" s="1" t="s">
        <v>997</v>
      </c>
      <c r="N5319" s="1" t="s">
        <v>3957</v>
      </c>
      <c r="P5319" s="1" t="s">
        <v>3976</v>
      </c>
      <c r="Q5319" s="3">
        <v>0</v>
      </c>
      <c r="S5319" s="23" t="s">
        <v>5949</v>
      </c>
      <c r="W5319" s="45" t="str">
        <f>HYPERLINK("http://ictvonline.org/taxonomy/p/taxonomy-history?taxnode_id=201854469","ICTVonline=201854469")</f>
        <v>ICTVonline=201854469</v>
      </c>
      <c r="AA5319" s="1">
        <v>201850000</v>
      </c>
      <c r="AB5319" s="1">
        <v>34</v>
      </c>
    </row>
    <row r="5320" spans="1:28" x14ac:dyDescent="0.15">
      <c r="A5320" s="1">
        <v>13220</v>
      </c>
      <c r="L5320" s="1" t="s">
        <v>997</v>
      </c>
      <c r="N5320" s="1" t="s">
        <v>3957</v>
      </c>
      <c r="P5320" s="1" t="s">
        <v>4824</v>
      </c>
      <c r="Q5320" s="3">
        <v>0</v>
      </c>
      <c r="S5320" s="23" t="s">
        <v>5949</v>
      </c>
      <c r="W5320" s="45" t="str">
        <f>HYPERLINK("http://ictvonline.org/taxonomy/p/taxonomy-history?taxnode_id=201854470","ICTVonline=201854470")</f>
        <v>ICTVonline=201854470</v>
      </c>
      <c r="AA5320" s="1">
        <v>201850000</v>
      </c>
      <c r="AB5320" s="1">
        <v>34</v>
      </c>
    </row>
    <row r="5321" spans="1:28" x14ac:dyDescent="0.15">
      <c r="A5321" s="1">
        <v>13222</v>
      </c>
      <c r="L5321" s="1" t="s">
        <v>997</v>
      </c>
      <c r="N5321" s="1" t="s">
        <v>3957</v>
      </c>
      <c r="P5321" s="1" t="s">
        <v>3977</v>
      </c>
      <c r="Q5321" s="3">
        <v>0</v>
      </c>
      <c r="S5321" s="23" t="s">
        <v>5949</v>
      </c>
      <c r="W5321" s="45" t="str">
        <f>HYPERLINK("http://ictvonline.org/taxonomy/p/taxonomy-history?taxnode_id=201854471","ICTVonline=201854471")</f>
        <v>ICTVonline=201854471</v>
      </c>
      <c r="AA5321" s="1">
        <v>201850000</v>
      </c>
      <c r="AB5321" s="1">
        <v>34</v>
      </c>
    </row>
    <row r="5322" spans="1:28" x14ac:dyDescent="0.15">
      <c r="A5322" s="1">
        <v>13224</v>
      </c>
      <c r="L5322" s="1" t="s">
        <v>997</v>
      </c>
      <c r="N5322" s="1" t="s">
        <v>3957</v>
      </c>
      <c r="P5322" s="1" t="s">
        <v>4825</v>
      </c>
      <c r="Q5322" s="3">
        <v>0</v>
      </c>
      <c r="S5322" s="23" t="s">
        <v>5949</v>
      </c>
      <c r="W5322" s="45" t="str">
        <f>HYPERLINK("http://ictvonline.org/taxonomy/p/taxonomy-history?taxnode_id=201854472","ICTVonline=201854472")</f>
        <v>ICTVonline=201854472</v>
      </c>
      <c r="AA5322" s="1">
        <v>201850000</v>
      </c>
      <c r="AB5322" s="1">
        <v>34</v>
      </c>
    </row>
    <row r="5323" spans="1:28" x14ac:dyDescent="0.15">
      <c r="A5323" s="1">
        <v>13226</v>
      </c>
      <c r="L5323" s="1" t="s">
        <v>997</v>
      </c>
      <c r="N5323" s="1" t="s">
        <v>3957</v>
      </c>
      <c r="P5323" s="1" t="s">
        <v>3978</v>
      </c>
      <c r="Q5323" s="3">
        <v>0</v>
      </c>
      <c r="S5323" s="23" t="s">
        <v>5949</v>
      </c>
      <c r="W5323" s="45" t="str">
        <f>HYPERLINK("http://ictvonline.org/taxonomy/p/taxonomy-history?taxnode_id=201854473","ICTVonline=201854473")</f>
        <v>ICTVonline=201854473</v>
      </c>
      <c r="AA5323" s="1">
        <v>201850000</v>
      </c>
      <c r="AB5323" s="1">
        <v>34</v>
      </c>
    </row>
    <row r="5324" spans="1:28" x14ac:dyDescent="0.15">
      <c r="A5324" s="1">
        <v>13228</v>
      </c>
      <c r="L5324" s="1" t="s">
        <v>997</v>
      </c>
      <c r="N5324" s="1" t="s">
        <v>3957</v>
      </c>
      <c r="P5324" s="1" t="s">
        <v>3979</v>
      </c>
      <c r="Q5324" s="3">
        <v>0</v>
      </c>
      <c r="S5324" s="23" t="s">
        <v>5949</v>
      </c>
      <c r="W5324" s="45" t="str">
        <f>HYPERLINK("http://ictvonline.org/taxonomy/p/taxonomy-history?taxnode_id=201854474","ICTVonline=201854474")</f>
        <v>ICTVonline=201854474</v>
      </c>
      <c r="AA5324" s="1">
        <v>201850000</v>
      </c>
      <c r="AB5324" s="1">
        <v>34</v>
      </c>
    </row>
    <row r="5325" spans="1:28" x14ac:dyDescent="0.15">
      <c r="A5325" s="1">
        <v>13230</v>
      </c>
      <c r="L5325" s="1" t="s">
        <v>997</v>
      </c>
      <c r="N5325" s="1" t="s">
        <v>3957</v>
      </c>
      <c r="P5325" s="1" t="s">
        <v>3980</v>
      </c>
      <c r="Q5325" s="3">
        <v>0</v>
      </c>
      <c r="S5325" s="23" t="s">
        <v>5949</v>
      </c>
      <c r="W5325" s="45" t="str">
        <f>HYPERLINK("http://ictvonline.org/taxonomy/p/taxonomy-history?taxnode_id=201854475","ICTVonline=201854475")</f>
        <v>ICTVonline=201854475</v>
      </c>
      <c r="AA5325" s="1">
        <v>201850000</v>
      </c>
      <c r="AB5325" s="1">
        <v>34</v>
      </c>
    </row>
    <row r="5326" spans="1:28" x14ac:dyDescent="0.15">
      <c r="A5326" s="1">
        <v>13232</v>
      </c>
      <c r="L5326" s="1" t="s">
        <v>997</v>
      </c>
      <c r="N5326" s="1" t="s">
        <v>3957</v>
      </c>
      <c r="P5326" s="1" t="s">
        <v>5516</v>
      </c>
      <c r="Q5326" s="3">
        <v>0</v>
      </c>
      <c r="S5326" s="23" t="s">
        <v>5949</v>
      </c>
      <c r="W5326" s="45" t="str">
        <f>HYPERLINK("http://ictvonline.org/taxonomy/p/taxonomy-history?taxnode_id=201855906","ICTVonline=201855906")</f>
        <v>ICTVonline=201855906</v>
      </c>
      <c r="AA5326" s="1">
        <v>201850000</v>
      </c>
      <c r="AB5326" s="1">
        <v>34</v>
      </c>
    </row>
    <row r="5327" spans="1:28" x14ac:dyDescent="0.15">
      <c r="A5327" s="1">
        <v>13234</v>
      </c>
      <c r="L5327" s="1" t="s">
        <v>997</v>
      </c>
      <c r="N5327" s="1" t="s">
        <v>3957</v>
      </c>
      <c r="P5327" s="1" t="s">
        <v>7130</v>
      </c>
      <c r="Q5327" s="3">
        <v>0</v>
      </c>
      <c r="S5327" s="23" t="s">
        <v>5949</v>
      </c>
      <c r="T5327" s="23" t="s">
        <v>4929</v>
      </c>
      <c r="U5327" s="3">
        <v>34</v>
      </c>
      <c r="V5327" s="3" t="s">
        <v>7124</v>
      </c>
      <c r="W5327" s="45" t="str">
        <f>HYPERLINK("http://ictvonline.org/taxonomy/p/taxonomy-history?taxnode_id=201856348","ICTVonline=201856348")</f>
        <v>ICTVonline=201856348</v>
      </c>
      <c r="AA5327" s="1">
        <v>201850000</v>
      </c>
      <c r="AB5327" s="1">
        <v>34</v>
      </c>
    </row>
    <row r="5328" spans="1:28" x14ac:dyDescent="0.15">
      <c r="A5328" s="1">
        <v>13236</v>
      </c>
      <c r="L5328" s="1" t="s">
        <v>997</v>
      </c>
      <c r="N5328" s="1" t="s">
        <v>3957</v>
      </c>
      <c r="P5328" s="1" t="s">
        <v>3981</v>
      </c>
      <c r="Q5328" s="3">
        <v>0</v>
      </c>
      <c r="S5328" s="23" t="s">
        <v>5949</v>
      </c>
      <c r="W5328" s="45" t="str">
        <f>HYPERLINK("http://ictvonline.org/taxonomy/p/taxonomy-history?taxnode_id=201854476","ICTVonline=201854476")</f>
        <v>ICTVonline=201854476</v>
      </c>
      <c r="AA5328" s="1">
        <v>201850000</v>
      </c>
      <c r="AB5328" s="1">
        <v>34</v>
      </c>
    </row>
    <row r="5329" spans="1:28" x14ac:dyDescent="0.15">
      <c r="A5329" s="1">
        <v>13238</v>
      </c>
      <c r="L5329" s="1" t="s">
        <v>997</v>
      </c>
      <c r="N5329" s="1" t="s">
        <v>3957</v>
      </c>
      <c r="P5329" s="1" t="s">
        <v>3982</v>
      </c>
      <c r="Q5329" s="3">
        <v>0</v>
      </c>
      <c r="S5329" s="23" t="s">
        <v>5949</v>
      </c>
      <c r="W5329" s="45" t="str">
        <f>HYPERLINK("http://ictvonline.org/taxonomy/p/taxonomy-history?taxnode_id=201854477","ICTVonline=201854477")</f>
        <v>ICTVonline=201854477</v>
      </c>
      <c r="AA5329" s="1">
        <v>201850000</v>
      </c>
      <c r="AB5329" s="1">
        <v>34</v>
      </c>
    </row>
    <row r="5330" spans="1:28" x14ac:dyDescent="0.15">
      <c r="A5330" s="1">
        <v>13240</v>
      </c>
      <c r="L5330" s="1" t="s">
        <v>997</v>
      </c>
      <c r="N5330" s="1" t="s">
        <v>3957</v>
      </c>
      <c r="P5330" s="1" t="s">
        <v>5517</v>
      </c>
      <c r="Q5330" s="3">
        <v>0</v>
      </c>
      <c r="S5330" s="23" t="s">
        <v>5949</v>
      </c>
      <c r="W5330" s="45" t="str">
        <f>HYPERLINK("http://ictvonline.org/taxonomy/p/taxonomy-history?taxnode_id=201855907","ICTVonline=201855907")</f>
        <v>ICTVonline=201855907</v>
      </c>
      <c r="AA5330" s="1">
        <v>201850000</v>
      </c>
      <c r="AB5330" s="1">
        <v>34</v>
      </c>
    </row>
    <row r="5331" spans="1:28" x14ac:dyDescent="0.15">
      <c r="A5331" s="1">
        <v>13242</v>
      </c>
      <c r="L5331" s="1" t="s">
        <v>997</v>
      </c>
      <c r="N5331" s="1" t="s">
        <v>3957</v>
      </c>
      <c r="P5331" s="1" t="s">
        <v>3983</v>
      </c>
      <c r="Q5331" s="3">
        <v>0</v>
      </c>
      <c r="S5331" s="23" t="s">
        <v>5949</v>
      </c>
      <c r="W5331" s="45" t="str">
        <f>HYPERLINK("http://ictvonline.org/taxonomy/p/taxonomy-history?taxnode_id=201854478","ICTVonline=201854478")</f>
        <v>ICTVonline=201854478</v>
      </c>
      <c r="AA5331" s="1">
        <v>201850000</v>
      </c>
      <c r="AB5331" s="1">
        <v>34</v>
      </c>
    </row>
    <row r="5332" spans="1:28" x14ac:dyDescent="0.15">
      <c r="A5332" s="1">
        <v>13246</v>
      </c>
      <c r="L5332" s="1" t="s">
        <v>997</v>
      </c>
      <c r="N5332" s="1" t="s">
        <v>3984</v>
      </c>
      <c r="P5332" s="1" t="s">
        <v>3985</v>
      </c>
      <c r="Q5332" s="3">
        <v>1</v>
      </c>
      <c r="S5332" s="23" t="s">
        <v>5949</v>
      </c>
      <c r="W5332" s="45" t="str">
        <f>HYPERLINK("http://ictvonline.org/taxonomy/p/taxonomy-history?taxnode_id=201854480","ICTVonline=201854480")</f>
        <v>ICTVonline=201854480</v>
      </c>
      <c r="AA5332" s="1">
        <v>201850000</v>
      </c>
      <c r="AB5332" s="1">
        <v>34</v>
      </c>
    </row>
    <row r="5333" spans="1:28" x14ac:dyDescent="0.15">
      <c r="A5333" s="1">
        <v>13248</v>
      </c>
      <c r="L5333" s="1" t="s">
        <v>997</v>
      </c>
      <c r="N5333" s="1" t="s">
        <v>3984</v>
      </c>
      <c r="P5333" s="1" t="s">
        <v>3986</v>
      </c>
      <c r="Q5333" s="3">
        <v>0</v>
      </c>
      <c r="S5333" s="23" t="s">
        <v>5949</v>
      </c>
      <c r="W5333" s="45" t="str">
        <f>HYPERLINK("http://ictvonline.org/taxonomy/p/taxonomy-history?taxnode_id=201854481","ICTVonline=201854481")</f>
        <v>ICTVonline=201854481</v>
      </c>
      <c r="AA5333" s="1">
        <v>201850000</v>
      </c>
      <c r="AB5333" s="1">
        <v>34</v>
      </c>
    </row>
    <row r="5334" spans="1:28" x14ac:dyDescent="0.15">
      <c r="A5334" s="1">
        <v>13250</v>
      </c>
      <c r="L5334" s="1" t="s">
        <v>997</v>
      </c>
      <c r="N5334" s="1" t="s">
        <v>3984</v>
      </c>
      <c r="P5334" s="1" t="s">
        <v>3987</v>
      </c>
      <c r="Q5334" s="3">
        <v>0</v>
      </c>
      <c r="S5334" s="23" t="s">
        <v>5949</v>
      </c>
      <c r="W5334" s="45" t="str">
        <f>HYPERLINK("http://ictvonline.org/taxonomy/p/taxonomy-history?taxnode_id=201854482","ICTVonline=201854482")</f>
        <v>ICTVonline=201854482</v>
      </c>
      <c r="AA5334" s="1">
        <v>201850000</v>
      </c>
      <c r="AB5334" s="1">
        <v>34</v>
      </c>
    </row>
    <row r="5335" spans="1:28" x14ac:dyDescent="0.15">
      <c r="A5335" s="1">
        <v>13252</v>
      </c>
      <c r="L5335" s="1" t="s">
        <v>997</v>
      </c>
      <c r="N5335" s="1" t="s">
        <v>3984</v>
      </c>
      <c r="P5335" s="1" t="s">
        <v>3988</v>
      </c>
      <c r="Q5335" s="3">
        <v>0</v>
      </c>
      <c r="S5335" s="23" t="s">
        <v>5949</v>
      </c>
      <c r="W5335" s="45" t="str">
        <f>HYPERLINK("http://ictvonline.org/taxonomy/p/taxonomy-history?taxnode_id=201854483","ICTVonline=201854483")</f>
        <v>ICTVonline=201854483</v>
      </c>
      <c r="AA5335" s="1">
        <v>201850000</v>
      </c>
      <c r="AB5335" s="1">
        <v>34</v>
      </c>
    </row>
    <row r="5336" spans="1:28" x14ac:dyDescent="0.15">
      <c r="A5336" s="1">
        <v>13256</v>
      </c>
      <c r="L5336" s="1" t="s">
        <v>997</v>
      </c>
      <c r="N5336" s="1" t="s">
        <v>3989</v>
      </c>
      <c r="P5336" s="1" t="s">
        <v>3990</v>
      </c>
      <c r="Q5336" s="3">
        <v>0</v>
      </c>
      <c r="S5336" s="23" t="s">
        <v>5949</v>
      </c>
      <c r="W5336" s="45" t="str">
        <f>HYPERLINK("http://ictvonline.org/taxonomy/p/taxonomy-history?taxnode_id=201854485","ICTVonline=201854485")</f>
        <v>ICTVonline=201854485</v>
      </c>
      <c r="AA5336" s="1">
        <v>201850000</v>
      </c>
      <c r="AB5336" s="1">
        <v>34</v>
      </c>
    </row>
    <row r="5337" spans="1:28" x14ac:dyDescent="0.15">
      <c r="A5337" s="1">
        <v>13258</v>
      </c>
      <c r="L5337" s="1" t="s">
        <v>997</v>
      </c>
      <c r="N5337" s="1" t="s">
        <v>3989</v>
      </c>
      <c r="P5337" s="1" t="s">
        <v>3991</v>
      </c>
      <c r="Q5337" s="3">
        <v>1</v>
      </c>
      <c r="S5337" s="23" t="s">
        <v>5949</v>
      </c>
      <c r="W5337" s="45" t="str">
        <f>HYPERLINK("http://ictvonline.org/taxonomy/p/taxonomy-history?taxnode_id=201854486","ICTVonline=201854486")</f>
        <v>ICTVonline=201854486</v>
      </c>
      <c r="AA5337" s="1">
        <v>201850000</v>
      </c>
      <c r="AB5337" s="1">
        <v>34</v>
      </c>
    </row>
    <row r="5338" spans="1:28" x14ac:dyDescent="0.15">
      <c r="A5338" s="1">
        <v>13260</v>
      </c>
      <c r="L5338" s="1" t="s">
        <v>997</v>
      </c>
      <c r="N5338" s="1" t="s">
        <v>3989</v>
      </c>
      <c r="P5338" s="1" t="s">
        <v>3992</v>
      </c>
      <c r="Q5338" s="3">
        <v>0</v>
      </c>
      <c r="S5338" s="23" t="s">
        <v>5949</v>
      </c>
      <c r="W5338" s="45" t="str">
        <f>HYPERLINK("http://ictvonline.org/taxonomy/p/taxonomy-history?taxnode_id=201854487","ICTVonline=201854487")</f>
        <v>ICTVonline=201854487</v>
      </c>
      <c r="AA5338" s="1">
        <v>201850000</v>
      </c>
      <c r="AB5338" s="1">
        <v>34</v>
      </c>
    </row>
    <row r="5339" spans="1:28" x14ac:dyDescent="0.15">
      <c r="A5339" s="1">
        <v>13262</v>
      </c>
      <c r="L5339" s="1" t="s">
        <v>997</v>
      </c>
      <c r="N5339" s="1" t="s">
        <v>3989</v>
      </c>
      <c r="P5339" s="1" t="s">
        <v>3993</v>
      </c>
      <c r="Q5339" s="3">
        <v>0</v>
      </c>
      <c r="S5339" s="23" t="s">
        <v>5949</v>
      </c>
      <c r="W5339" s="45" t="str">
        <f>HYPERLINK("http://ictvonline.org/taxonomy/p/taxonomy-history?taxnode_id=201854488","ICTVonline=201854488")</f>
        <v>ICTVonline=201854488</v>
      </c>
      <c r="AA5339" s="1">
        <v>201850000</v>
      </c>
      <c r="AB5339" s="1">
        <v>34</v>
      </c>
    </row>
    <row r="5340" spans="1:28" x14ac:dyDescent="0.15">
      <c r="A5340" s="1">
        <v>13264</v>
      </c>
      <c r="L5340" s="1" t="s">
        <v>997</v>
      </c>
      <c r="N5340" s="1" t="s">
        <v>3989</v>
      </c>
      <c r="P5340" s="1" t="s">
        <v>5518</v>
      </c>
      <c r="Q5340" s="3">
        <v>0</v>
      </c>
      <c r="S5340" s="23" t="s">
        <v>5949</v>
      </c>
      <c r="W5340" s="45" t="str">
        <f>HYPERLINK("http://ictvonline.org/taxonomy/p/taxonomy-history?taxnode_id=201855908","ICTVonline=201855908")</f>
        <v>ICTVonline=201855908</v>
      </c>
      <c r="AA5340" s="1">
        <v>201850000</v>
      </c>
      <c r="AB5340" s="1">
        <v>34</v>
      </c>
    </row>
    <row r="5341" spans="1:28" x14ac:dyDescent="0.15">
      <c r="A5341" s="1">
        <v>13266</v>
      </c>
      <c r="L5341" s="1" t="s">
        <v>997</v>
      </c>
      <c r="N5341" s="1" t="s">
        <v>3989</v>
      </c>
      <c r="P5341" s="1" t="s">
        <v>5519</v>
      </c>
      <c r="Q5341" s="3">
        <v>0</v>
      </c>
      <c r="S5341" s="23" t="s">
        <v>5949</v>
      </c>
      <c r="W5341" s="45" t="str">
        <f>HYPERLINK("http://ictvonline.org/taxonomy/p/taxonomy-history?taxnode_id=201855909","ICTVonline=201855909")</f>
        <v>ICTVonline=201855909</v>
      </c>
      <c r="AA5341" s="1">
        <v>201850000</v>
      </c>
      <c r="AB5341" s="1">
        <v>34</v>
      </c>
    </row>
    <row r="5342" spans="1:28" x14ac:dyDescent="0.15">
      <c r="A5342" s="1">
        <v>13268</v>
      </c>
      <c r="L5342" s="1" t="s">
        <v>997</v>
      </c>
      <c r="N5342" s="1" t="s">
        <v>3989</v>
      </c>
      <c r="P5342" s="1" t="s">
        <v>3994</v>
      </c>
      <c r="Q5342" s="3">
        <v>0</v>
      </c>
      <c r="S5342" s="23" t="s">
        <v>5949</v>
      </c>
      <c r="W5342" s="45" t="str">
        <f>HYPERLINK("http://ictvonline.org/taxonomy/p/taxonomy-history?taxnode_id=201854489","ICTVonline=201854489")</f>
        <v>ICTVonline=201854489</v>
      </c>
      <c r="AA5342" s="1">
        <v>201850000</v>
      </c>
      <c r="AB5342" s="1">
        <v>34</v>
      </c>
    </row>
    <row r="5343" spans="1:28" x14ac:dyDescent="0.15">
      <c r="A5343" s="1">
        <v>13270</v>
      </c>
      <c r="L5343" s="1" t="s">
        <v>997</v>
      </c>
      <c r="N5343" s="1" t="s">
        <v>3989</v>
      </c>
      <c r="P5343" s="1" t="s">
        <v>3995</v>
      </c>
      <c r="Q5343" s="3">
        <v>0</v>
      </c>
      <c r="S5343" s="23" t="s">
        <v>5949</v>
      </c>
      <c r="W5343" s="45" t="str">
        <f>HYPERLINK("http://ictvonline.org/taxonomy/p/taxonomy-history?taxnode_id=201854490","ICTVonline=201854490")</f>
        <v>ICTVonline=201854490</v>
      </c>
      <c r="AA5343" s="1">
        <v>201850000</v>
      </c>
      <c r="AB5343" s="1">
        <v>34</v>
      </c>
    </row>
    <row r="5344" spans="1:28" x14ac:dyDescent="0.15">
      <c r="A5344" s="1">
        <v>13272</v>
      </c>
      <c r="L5344" s="1" t="s">
        <v>997</v>
      </c>
      <c r="N5344" s="1" t="s">
        <v>3989</v>
      </c>
      <c r="P5344" s="1" t="s">
        <v>3996</v>
      </c>
      <c r="Q5344" s="3">
        <v>0</v>
      </c>
      <c r="S5344" s="23" t="s">
        <v>5949</v>
      </c>
      <c r="W5344" s="45" t="str">
        <f>HYPERLINK("http://ictvonline.org/taxonomy/p/taxonomy-history?taxnode_id=201854491","ICTVonline=201854491")</f>
        <v>ICTVonline=201854491</v>
      </c>
      <c r="AA5344" s="1">
        <v>201850000</v>
      </c>
      <c r="AB5344" s="1">
        <v>34</v>
      </c>
    </row>
    <row r="5345" spans="1:28" x14ac:dyDescent="0.15">
      <c r="A5345" s="1">
        <v>13275</v>
      </c>
      <c r="L5345" s="1" t="s">
        <v>997</v>
      </c>
      <c r="P5345" s="1" t="s">
        <v>7131</v>
      </c>
      <c r="Q5345" s="3">
        <v>0</v>
      </c>
      <c r="S5345" s="23" t="s">
        <v>5949</v>
      </c>
      <c r="T5345" s="23" t="s">
        <v>4929</v>
      </c>
      <c r="U5345" s="3">
        <v>34</v>
      </c>
      <c r="V5345" s="3" t="s">
        <v>7124</v>
      </c>
      <c r="W5345" s="45" t="str">
        <f>HYPERLINK("http://ictvonline.org/taxonomy/p/taxonomy-history?taxnode_id=201856349","ICTVonline=201856349")</f>
        <v>ICTVonline=201856349</v>
      </c>
      <c r="AA5345" s="1">
        <v>201850000</v>
      </c>
      <c r="AB5345" s="1">
        <v>34</v>
      </c>
    </row>
    <row r="5346" spans="1:28" x14ac:dyDescent="0.15">
      <c r="A5346" s="1">
        <v>13277</v>
      </c>
      <c r="L5346" s="1" t="s">
        <v>997</v>
      </c>
      <c r="P5346" s="1" t="s">
        <v>3997</v>
      </c>
      <c r="Q5346" s="3">
        <v>0</v>
      </c>
      <c r="S5346" s="23" t="s">
        <v>5949</v>
      </c>
      <c r="W5346" s="45" t="str">
        <f>HYPERLINK("http://ictvonline.org/taxonomy/p/taxonomy-history?taxnode_id=201854493","ICTVonline=201854493")</f>
        <v>ICTVonline=201854493</v>
      </c>
      <c r="AA5346" s="1">
        <v>201850000</v>
      </c>
      <c r="AB5346" s="1">
        <v>34</v>
      </c>
    </row>
    <row r="5347" spans="1:28" x14ac:dyDescent="0.15">
      <c r="A5347" s="1">
        <v>13279</v>
      </c>
      <c r="L5347" s="1" t="s">
        <v>997</v>
      </c>
      <c r="P5347" s="1" t="s">
        <v>3998</v>
      </c>
      <c r="Q5347" s="3">
        <v>0</v>
      </c>
      <c r="S5347" s="23" t="s">
        <v>5949</v>
      </c>
      <c r="W5347" s="45" t="str">
        <f>HYPERLINK("http://ictvonline.org/taxonomy/p/taxonomy-history?taxnode_id=201854494","ICTVonline=201854494")</f>
        <v>ICTVonline=201854494</v>
      </c>
      <c r="AA5347" s="1">
        <v>201850000</v>
      </c>
      <c r="AB5347" s="1">
        <v>34</v>
      </c>
    </row>
    <row r="5348" spans="1:28" x14ac:dyDescent="0.15">
      <c r="A5348" s="1">
        <v>13281</v>
      </c>
      <c r="L5348" s="1" t="s">
        <v>997</v>
      </c>
      <c r="P5348" s="1" t="s">
        <v>3999</v>
      </c>
      <c r="Q5348" s="3">
        <v>0</v>
      </c>
      <c r="S5348" s="23" t="s">
        <v>5949</v>
      </c>
      <c r="W5348" s="45" t="str">
        <f>HYPERLINK("http://ictvonline.org/taxonomy/p/taxonomy-history?taxnode_id=201854495","ICTVonline=201854495")</f>
        <v>ICTVonline=201854495</v>
      </c>
      <c r="AA5348" s="1">
        <v>201850000</v>
      </c>
      <c r="AB5348" s="1">
        <v>34</v>
      </c>
    </row>
    <row r="5349" spans="1:28" x14ac:dyDescent="0.15">
      <c r="A5349" s="1">
        <v>13283</v>
      </c>
      <c r="L5349" s="1" t="s">
        <v>997</v>
      </c>
      <c r="P5349" s="1" t="s">
        <v>7132</v>
      </c>
      <c r="Q5349" s="3">
        <v>0</v>
      </c>
      <c r="S5349" s="23" t="s">
        <v>5949</v>
      </c>
      <c r="T5349" s="23" t="s">
        <v>4929</v>
      </c>
      <c r="U5349" s="3">
        <v>34</v>
      </c>
      <c r="V5349" s="3" t="s">
        <v>7124</v>
      </c>
      <c r="W5349" s="45" t="str">
        <f>HYPERLINK("http://ictvonline.org/taxonomy/p/taxonomy-history?taxnode_id=201856350","ICTVonline=201856350")</f>
        <v>ICTVonline=201856350</v>
      </c>
      <c r="AA5349" s="1">
        <v>201850000</v>
      </c>
      <c r="AB5349" s="1">
        <v>34</v>
      </c>
    </row>
    <row r="5350" spans="1:28" x14ac:dyDescent="0.15">
      <c r="A5350" s="1">
        <v>13285</v>
      </c>
      <c r="L5350" s="1" t="s">
        <v>997</v>
      </c>
      <c r="P5350" s="1" t="s">
        <v>5520</v>
      </c>
      <c r="Q5350" s="3">
        <v>0</v>
      </c>
      <c r="S5350" s="23" t="s">
        <v>5949</v>
      </c>
      <c r="W5350" s="45" t="str">
        <f>HYPERLINK("http://ictvonline.org/taxonomy/p/taxonomy-history?taxnode_id=201855910","ICTVonline=201855910")</f>
        <v>ICTVonline=201855910</v>
      </c>
      <c r="AA5350" s="1">
        <v>201850000</v>
      </c>
      <c r="AB5350" s="1">
        <v>34</v>
      </c>
    </row>
    <row r="5351" spans="1:28" x14ac:dyDescent="0.15">
      <c r="A5351" s="1">
        <v>13287</v>
      </c>
      <c r="L5351" s="1" t="s">
        <v>997</v>
      </c>
      <c r="P5351" s="1" t="s">
        <v>7133</v>
      </c>
      <c r="Q5351" s="3">
        <v>0</v>
      </c>
      <c r="S5351" s="23" t="s">
        <v>5949</v>
      </c>
      <c r="T5351" s="23" t="s">
        <v>4929</v>
      </c>
      <c r="U5351" s="3">
        <v>34</v>
      </c>
      <c r="V5351" s="3" t="s">
        <v>7124</v>
      </c>
      <c r="W5351" s="45" t="str">
        <f>HYPERLINK("http://ictvonline.org/taxonomy/p/taxonomy-history?taxnode_id=201856351","ICTVonline=201856351")</f>
        <v>ICTVonline=201856351</v>
      </c>
      <c r="AA5351" s="1">
        <v>201850000</v>
      </c>
      <c r="AB5351" s="1">
        <v>34</v>
      </c>
    </row>
    <row r="5352" spans="1:28" x14ac:dyDescent="0.15">
      <c r="A5352" s="1">
        <v>13289</v>
      </c>
      <c r="L5352" s="1" t="s">
        <v>997</v>
      </c>
      <c r="P5352" s="1" t="s">
        <v>7134</v>
      </c>
      <c r="Q5352" s="3">
        <v>0</v>
      </c>
      <c r="S5352" s="23" t="s">
        <v>5949</v>
      </c>
      <c r="T5352" s="23" t="s">
        <v>4929</v>
      </c>
      <c r="U5352" s="3">
        <v>34</v>
      </c>
      <c r="V5352" s="3" t="s">
        <v>7124</v>
      </c>
      <c r="W5352" s="45" t="str">
        <f>HYPERLINK("http://ictvonline.org/taxonomy/p/taxonomy-history?taxnode_id=201856352","ICTVonline=201856352")</f>
        <v>ICTVonline=201856352</v>
      </c>
      <c r="AA5352" s="1">
        <v>201850000</v>
      </c>
      <c r="AB5352" s="1">
        <v>34</v>
      </c>
    </row>
    <row r="5353" spans="1:28" x14ac:dyDescent="0.15">
      <c r="A5353" s="1">
        <v>13291</v>
      </c>
      <c r="L5353" s="1" t="s">
        <v>997</v>
      </c>
      <c r="P5353" s="1" t="s">
        <v>5521</v>
      </c>
      <c r="Q5353" s="3">
        <v>0</v>
      </c>
      <c r="S5353" s="23" t="s">
        <v>5949</v>
      </c>
      <c r="W5353" s="45" t="str">
        <f>HYPERLINK("http://ictvonline.org/taxonomy/p/taxonomy-history?taxnode_id=201855911","ICTVonline=201855911")</f>
        <v>ICTVonline=201855911</v>
      </c>
      <c r="AA5353" s="1">
        <v>201850000</v>
      </c>
      <c r="AB5353" s="1">
        <v>34</v>
      </c>
    </row>
    <row r="5354" spans="1:28" x14ac:dyDescent="0.15">
      <c r="A5354" s="1">
        <v>13296</v>
      </c>
      <c r="L5354" s="1" t="s">
        <v>5522</v>
      </c>
      <c r="N5354" s="1" t="s">
        <v>5523</v>
      </c>
      <c r="P5354" s="1" t="s">
        <v>5524</v>
      </c>
      <c r="Q5354" s="3">
        <v>1</v>
      </c>
      <c r="S5354" s="23" t="s">
        <v>5949</v>
      </c>
      <c r="W5354" s="45" t="str">
        <f>HYPERLINK("http://ictvonline.org/taxonomy/p/taxonomy-history?taxnode_id=201855912","ICTVonline=201855912")</f>
        <v>ICTVonline=201855912</v>
      </c>
      <c r="AA5354" s="1">
        <v>201850000</v>
      </c>
      <c r="AB5354" s="1">
        <v>34</v>
      </c>
    </row>
    <row r="5355" spans="1:28" x14ac:dyDescent="0.15">
      <c r="A5355" s="1">
        <v>13303</v>
      </c>
      <c r="L5355" s="1" t="s">
        <v>2079</v>
      </c>
      <c r="M5355" s="1" t="s">
        <v>2080</v>
      </c>
      <c r="N5355" s="1" t="s">
        <v>2081</v>
      </c>
      <c r="P5355" s="1" t="s">
        <v>500</v>
      </c>
      <c r="Q5355" s="3">
        <v>0</v>
      </c>
      <c r="S5355" s="23" t="s">
        <v>5949</v>
      </c>
      <c r="W5355" s="45" t="str">
        <f>HYPERLINK("http://ictvonline.org/taxonomy/p/taxonomy-history?taxnode_id=201854740","ICTVonline=201854740")</f>
        <v>ICTVonline=201854740</v>
      </c>
      <c r="AA5355" s="1">
        <v>201850000</v>
      </c>
      <c r="AB5355" s="1">
        <v>34</v>
      </c>
    </row>
    <row r="5356" spans="1:28" x14ac:dyDescent="0.15">
      <c r="A5356" s="1">
        <v>13305</v>
      </c>
      <c r="L5356" s="1" t="s">
        <v>2079</v>
      </c>
      <c r="M5356" s="1" t="s">
        <v>2080</v>
      </c>
      <c r="N5356" s="1" t="s">
        <v>2081</v>
      </c>
      <c r="P5356" s="1" t="s">
        <v>501</v>
      </c>
      <c r="Q5356" s="3">
        <v>1</v>
      </c>
      <c r="S5356" s="23" t="s">
        <v>5949</v>
      </c>
      <c r="W5356" s="45" t="str">
        <f>HYPERLINK("http://ictvonline.org/taxonomy/p/taxonomy-history?taxnode_id=201854741","ICTVonline=201854741")</f>
        <v>ICTVonline=201854741</v>
      </c>
      <c r="AA5356" s="1">
        <v>201850000</v>
      </c>
      <c r="AB5356" s="1">
        <v>34</v>
      </c>
    </row>
    <row r="5357" spans="1:28" x14ac:dyDescent="0.15">
      <c r="A5357" s="1">
        <v>13307</v>
      </c>
      <c r="L5357" s="1" t="s">
        <v>2079</v>
      </c>
      <c r="M5357" s="1" t="s">
        <v>2080</v>
      </c>
      <c r="N5357" s="1" t="s">
        <v>2081</v>
      </c>
      <c r="P5357" s="1" t="s">
        <v>502</v>
      </c>
      <c r="Q5357" s="3">
        <v>0</v>
      </c>
      <c r="S5357" s="23" t="s">
        <v>5949</v>
      </c>
      <c r="W5357" s="45" t="str">
        <f>HYPERLINK("http://ictvonline.org/taxonomy/p/taxonomy-history?taxnode_id=201854742","ICTVonline=201854742")</f>
        <v>ICTVonline=201854742</v>
      </c>
      <c r="AA5357" s="1">
        <v>201850000</v>
      </c>
      <c r="AB5357" s="1">
        <v>34</v>
      </c>
    </row>
    <row r="5358" spans="1:28" x14ac:dyDescent="0.15">
      <c r="A5358" s="1">
        <v>13309</v>
      </c>
      <c r="L5358" s="1" t="s">
        <v>2079</v>
      </c>
      <c r="M5358" s="1" t="s">
        <v>2080</v>
      </c>
      <c r="N5358" s="1" t="s">
        <v>2081</v>
      </c>
      <c r="P5358" s="1" t="s">
        <v>503</v>
      </c>
      <c r="Q5358" s="3">
        <v>0</v>
      </c>
      <c r="S5358" s="23" t="s">
        <v>5949</v>
      </c>
      <c r="W5358" s="45" t="str">
        <f>HYPERLINK("http://ictvonline.org/taxonomy/p/taxonomy-history?taxnode_id=201854743","ICTVonline=201854743")</f>
        <v>ICTVonline=201854743</v>
      </c>
      <c r="AA5358" s="1">
        <v>201850000</v>
      </c>
      <c r="AB5358" s="1">
        <v>34</v>
      </c>
    </row>
    <row r="5359" spans="1:28" x14ac:dyDescent="0.15">
      <c r="A5359" s="1">
        <v>13311</v>
      </c>
      <c r="L5359" s="1" t="s">
        <v>2079</v>
      </c>
      <c r="M5359" s="1" t="s">
        <v>2080</v>
      </c>
      <c r="N5359" s="1" t="s">
        <v>2081</v>
      </c>
      <c r="P5359" s="1" t="s">
        <v>504</v>
      </c>
      <c r="Q5359" s="3">
        <v>0</v>
      </c>
      <c r="S5359" s="23" t="s">
        <v>5949</v>
      </c>
      <c r="W5359" s="45" t="str">
        <f>HYPERLINK("http://ictvonline.org/taxonomy/p/taxonomy-history?taxnode_id=201854744","ICTVonline=201854744")</f>
        <v>ICTVonline=201854744</v>
      </c>
      <c r="AA5359" s="1">
        <v>201850000</v>
      </c>
      <c r="AB5359" s="1">
        <v>34</v>
      </c>
    </row>
    <row r="5360" spans="1:28" x14ac:dyDescent="0.15">
      <c r="A5360" s="1">
        <v>13313</v>
      </c>
      <c r="L5360" s="1" t="s">
        <v>2079</v>
      </c>
      <c r="M5360" s="1" t="s">
        <v>2080</v>
      </c>
      <c r="N5360" s="1" t="s">
        <v>2081</v>
      </c>
      <c r="P5360" s="1" t="s">
        <v>505</v>
      </c>
      <c r="Q5360" s="3">
        <v>0</v>
      </c>
      <c r="S5360" s="23" t="s">
        <v>5949</v>
      </c>
      <c r="W5360" s="45" t="str">
        <f>HYPERLINK("http://ictvonline.org/taxonomy/p/taxonomy-history?taxnode_id=201854745","ICTVonline=201854745")</f>
        <v>ICTVonline=201854745</v>
      </c>
      <c r="AA5360" s="1">
        <v>201850000</v>
      </c>
      <c r="AB5360" s="1">
        <v>34</v>
      </c>
    </row>
    <row r="5361" spans="1:28" x14ac:dyDescent="0.15">
      <c r="A5361" s="1">
        <v>13315</v>
      </c>
      <c r="L5361" s="1" t="s">
        <v>2079</v>
      </c>
      <c r="M5361" s="1" t="s">
        <v>2080</v>
      </c>
      <c r="N5361" s="1" t="s">
        <v>2081</v>
      </c>
      <c r="P5361" s="1" t="s">
        <v>506</v>
      </c>
      <c r="Q5361" s="3">
        <v>0</v>
      </c>
      <c r="S5361" s="23" t="s">
        <v>5949</v>
      </c>
      <c r="W5361" s="45" t="str">
        <f>HYPERLINK("http://ictvonline.org/taxonomy/p/taxonomy-history?taxnode_id=201854746","ICTVonline=201854746")</f>
        <v>ICTVonline=201854746</v>
      </c>
      <c r="AA5361" s="1">
        <v>201850000</v>
      </c>
      <c r="AB5361" s="1">
        <v>34</v>
      </c>
    </row>
    <row r="5362" spans="1:28" x14ac:dyDescent="0.15">
      <c r="A5362" s="1">
        <v>13317</v>
      </c>
      <c r="L5362" s="1" t="s">
        <v>2079</v>
      </c>
      <c r="M5362" s="1" t="s">
        <v>2080</v>
      </c>
      <c r="N5362" s="1" t="s">
        <v>2081</v>
      </c>
      <c r="P5362" s="1" t="s">
        <v>507</v>
      </c>
      <c r="Q5362" s="3">
        <v>0</v>
      </c>
      <c r="S5362" s="23" t="s">
        <v>5949</v>
      </c>
      <c r="W5362" s="45" t="str">
        <f>HYPERLINK("http://ictvonline.org/taxonomy/p/taxonomy-history?taxnode_id=201854747","ICTVonline=201854747")</f>
        <v>ICTVonline=201854747</v>
      </c>
      <c r="AA5362" s="1">
        <v>201850000</v>
      </c>
      <c r="AB5362" s="1">
        <v>34</v>
      </c>
    </row>
    <row r="5363" spans="1:28" x14ac:dyDescent="0.15">
      <c r="A5363" s="1">
        <v>13319</v>
      </c>
      <c r="L5363" s="1" t="s">
        <v>2079</v>
      </c>
      <c r="M5363" s="1" t="s">
        <v>2080</v>
      </c>
      <c r="N5363" s="1" t="s">
        <v>2081</v>
      </c>
      <c r="P5363" s="1" t="s">
        <v>508</v>
      </c>
      <c r="Q5363" s="3">
        <v>0</v>
      </c>
      <c r="S5363" s="23" t="s">
        <v>5949</v>
      </c>
      <c r="W5363" s="45" t="str">
        <f>HYPERLINK("http://ictvonline.org/taxonomy/p/taxonomy-history?taxnode_id=201854748","ICTVonline=201854748")</f>
        <v>ICTVonline=201854748</v>
      </c>
      <c r="AA5363" s="1">
        <v>201850000</v>
      </c>
      <c r="AB5363" s="1">
        <v>34</v>
      </c>
    </row>
    <row r="5364" spans="1:28" x14ac:dyDescent="0.15">
      <c r="A5364" s="1">
        <v>13321</v>
      </c>
      <c r="L5364" s="1" t="s">
        <v>2079</v>
      </c>
      <c r="M5364" s="1" t="s">
        <v>2080</v>
      </c>
      <c r="N5364" s="1" t="s">
        <v>2081</v>
      </c>
      <c r="P5364" s="1" t="s">
        <v>509</v>
      </c>
      <c r="Q5364" s="3">
        <v>0</v>
      </c>
      <c r="S5364" s="23" t="s">
        <v>5949</v>
      </c>
      <c r="W5364" s="45" t="str">
        <f>HYPERLINK("http://ictvonline.org/taxonomy/p/taxonomy-history?taxnode_id=201854749","ICTVonline=201854749")</f>
        <v>ICTVonline=201854749</v>
      </c>
      <c r="AA5364" s="1">
        <v>201850000</v>
      </c>
      <c r="AB5364" s="1">
        <v>34</v>
      </c>
    </row>
    <row r="5365" spans="1:28" x14ac:dyDescent="0.15">
      <c r="A5365" s="1">
        <v>13325</v>
      </c>
      <c r="L5365" s="1" t="s">
        <v>2079</v>
      </c>
      <c r="M5365" s="1" t="s">
        <v>2080</v>
      </c>
      <c r="N5365" s="1" t="s">
        <v>510</v>
      </c>
      <c r="P5365" s="1" t="s">
        <v>1565</v>
      </c>
      <c r="Q5365" s="3">
        <v>0</v>
      </c>
      <c r="S5365" s="23" t="s">
        <v>5949</v>
      </c>
      <c r="W5365" s="45" t="str">
        <f>HYPERLINK("http://ictvonline.org/taxonomy/p/taxonomy-history?taxnode_id=201854751","ICTVonline=201854751")</f>
        <v>ICTVonline=201854751</v>
      </c>
      <c r="AA5365" s="1">
        <v>201850000</v>
      </c>
      <c r="AB5365" s="1">
        <v>34</v>
      </c>
    </row>
    <row r="5366" spans="1:28" x14ac:dyDescent="0.15">
      <c r="A5366" s="1">
        <v>13327</v>
      </c>
      <c r="L5366" s="1" t="s">
        <v>2079</v>
      </c>
      <c r="M5366" s="1" t="s">
        <v>2080</v>
      </c>
      <c r="N5366" s="1" t="s">
        <v>510</v>
      </c>
      <c r="P5366" s="1" t="s">
        <v>1566</v>
      </c>
      <c r="Q5366" s="3">
        <v>0</v>
      </c>
      <c r="S5366" s="23" t="s">
        <v>5949</v>
      </c>
      <c r="W5366" s="45" t="str">
        <f>HYPERLINK("http://ictvonline.org/taxonomy/p/taxonomy-history?taxnode_id=201854752","ICTVonline=201854752")</f>
        <v>ICTVonline=201854752</v>
      </c>
      <c r="AA5366" s="1">
        <v>201850000</v>
      </c>
      <c r="AB5366" s="1">
        <v>34</v>
      </c>
    </row>
    <row r="5367" spans="1:28" x14ac:dyDescent="0.15">
      <c r="A5367" s="1">
        <v>13329</v>
      </c>
      <c r="L5367" s="1" t="s">
        <v>2079</v>
      </c>
      <c r="M5367" s="1" t="s">
        <v>2080</v>
      </c>
      <c r="N5367" s="1" t="s">
        <v>510</v>
      </c>
      <c r="P5367" s="1" t="s">
        <v>1567</v>
      </c>
      <c r="Q5367" s="3">
        <v>1</v>
      </c>
      <c r="S5367" s="23" t="s">
        <v>5949</v>
      </c>
      <c r="W5367" s="45" t="str">
        <f>HYPERLINK("http://ictvonline.org/taxonomy/p/taxonomy-history?taxnode_id=201854753","ICTVonline=201854753")</f>
        <v>ICTVonline=201854753</v>
      </c>
      <c r="AA5367" s="1">
        <v>201850000</v>
      </c>
      <c r="AB5367" s="1">
        <v>34</v>
      </c>
    </row>
    <row r="5368" spans="1:28" x14ac:dyDescent="0.15">
      <c r="A5368" s="1">
        <v>13333</v>
      </c>
      <c r="L5368" s="1" t="s">
        <v>2079</v>
      </c>
      <c r="M5368" s="1" t="s">
        <v>2080</v>
      </c>
      <c r="N5368" s="1" t="s">
        <v>4831</v>
      </c>
      <c r="P5368" s="1" t="s">
        <v>4832</v>
      </c>
      <c r="Q5368" s="3">
        <v>1</v>
      </c>
      <c r="S5368" s="23" t="s">
        <v>5949</v>
      </c>
      <c r="W5368" s="45" t="str">
        <f>HYPERLINK("http://ictvonline.org/taxonomy/p/taxonomy-history?taxnode_id=201854755","ICTVonline=201854755")</f>
        <v>ICTVonline=201854755</v>
      </c>
      <c r="AA5368" s="1">
        <v>201850000</v>
      </c>
      <c r="AB5368" s="1">
        <v>34</v>
      </c>
    </row>
    <row r="5369" spans="1:28" x14ac:dyDescent="0.15">
      <c r="A5369" s="1">
        <v>13337</v>
      </c>
      <c r="L5369" s="1" t="s">
        <v>2079</v>
      </c>
      <c r="M5369" s="1" t="s">
        <v>2080</v>
      </c>
      <c r="N5369" s="1" t="s">
        <v>1568</v>
      </c>
      <c r="P5369" s="1" t="s">
        <v>200</v>
      </c>
      <c r="Q5369" s="3">
        <v>1</v>
      </c>
      <c r="S5369" s="23" t="s">
        <v>5949</v>
      </c>
      <c r="W5369" s="45" t="str">
        <f>HYPERLINK("http://ictvonline.org/taxonomy/p/taxonomy-history?taxnode_id=201854757","ICTVonline=201854757")</f>
        <v>ICTVonline=201854757</v>
      </c>
      <c r="AA5369" s="1">
        <v>201850000</v>
      </c>
      <c r="AB5369" s="1">
        <v>34</v>
      </c>
    </row>
    <row r="5370" spans="1:28" x14ac:dyDescent="0.15">
      <c r="A5370" s="1">
        <v>13341</v>
      </c>
      <c r="L5370" s="1" t="s">
        <v>2079</v>
      </c>
      <c r="M5370" s="1" t="s">
        <v>2080</v>
      </c>
      <c r="N5370" s="1" t="s">
        <v>201</v>
      </c>
      <c r="P5370" s="1" t="s">
        <v>202</v>
      </c>
      <c r="Q5370" s="3">
        <v>1</v>
      </c>
      <c r="S5370" s="23" t="s">
        <v>5949</v>
      </c>
      <c r="W5370" s="45" t="str">
        <f>HYPERLINK("http://ictvonline.org/taxonomy/p/taxonomy-history?taxnode_id=201854759","ICTVonline=201854759")</f>
        <v>ICTVonline=201854759</v>
      </c>
      <c r="AA5370" s="1">
        <v>201850000</v>
      </c>
      <c r="AB5370" s="1">
        <v>34</v>
      </c>
    </row>
    <row r="5371" spans="1:28" x14ac:dyDescent="0.15">
      <c r="A5371" s="1">
        <v>13345</v>
      </c>
      <c r="L5371" s="1" t="s">
        <v>2079</v>
      </c>
      <c r="M5371" s="1" t="s">
        <v>2080</v>
      </c>
      <c r="N5371" s="1" t="s">
        <v>497</v>
      </c>
      <c r="P5371" s="1" t="s">
        <v>498</v>
      </c>
      <c r="Q5371" s="3">
        <v>0</v>
      </c>
      <c r="S5371" s="23" t="s">
        <v>5949</v>
      </c>
      <c r="W5371" s="45" t="str">
        <f>HYPERLINK("http://ictvonline.org/taxonomy/p/taxonomy-history?taxnode_id=201854761","ICTVonline=201854761")</f>
        <v>ICTVonline=201854761</v>
      </c>
      <c r="AA5371" s="1">
        <v>201850000</v>
      </c>
      <c r="AB5371" s="1">
        <v>34</v>
      </c>
    </row>
    <row r="5372" spans="1:28" x14ac:dyDescent="0.15">
      <c r="A5372" s="1">
        <v>13347</v>
      </c>
      <c r="L5372" s="1" t="s">
        <v>2079</v>
      </c>
      <c r="M5372" s="1" t="s">
        <v>2080</v>
      </c>
      <c r="N5372" s="1" t="s">
        <v>497</v>
      </c>
      <c r="P5372" s="1" t="s">
        <v>499</v>
      </c>
      <c r="Q5372" s="3">
        <v>1</v>
      </c>
      <c r="S5372" s="23" t="s">
        <v>5949</v>
      </c>
      <c r="W5372" s="45" t="str">
        <f>HYPERLINK("http://ictvonline.org/taxonomy/p/taxonomy-history?taxnode_id=201854762","ICTVonline=201854762")</f>
        <v>ICTVonline=201854762</v>
      </c>
      <c r="AA5372" s="1">
        <v>201850000</v>
      </c>
      <c r="AB5372" s="1">
        <v>34</v>
      </c>
    </row>
    <row r="5373" spans="1:28" x14ac:dyDescent="0.15">
      <c r="A5373" s="1">
        <v>13349</v>
      </c>
      <c r="L5373" s="1" t="s">
        <v>2079</v>
      </c>
      <c r="M5373" s="1" t="s">
        <v>2080</v>
      </c>
      <c r="N5373" s="1" t="s">
        <v>497</v>
      </c>
      <c r="P5373" s="1" t="s">
        <v>492</v>
      </c>
      <c r="Q5373" s="3">
        <v>0</v>
      </c>
      <c r="S5373" s="23" t="s">
        <v>5949</v>
      </c>
      <c r="W5373" s="45" t="str">
        <f>HYPERLINK("http://ictvonline.org/taxonomy/p/taxonomy-history?taxnode_id=201854763","ICTVonline=201854763")</f>
        <v>ICTVonline=201854763</v>
      </c>
      <c r="AA5373" s="1">
        <v>201850000</v>
      </c>
      <c r="AB5373" s="1">
        <v>34</v>
      </c>
    </row>
    <row r="5374" spans="1:28" x14ac:dyDescent="0.15">
      <c r="A5374" s="1">
        <v>13351</v>
      </c>
      <c r="L5374" s="1" t="s">
        <v>2079</v>
      </c>
      <c r="M5374" s="1" t="s">
        <v>2080</v>
      </c>
      <c r="N5374" s="1" t="s">
        <v>497</v>
      </c>
      <c r="P5374" s="1" t="s">
        <v>493</v>
      </c>
      <c r="Q5374" s="3">
        <v>0</v>
      </c>
      <c r="S5374" s="23" t="s">
        <v>5949</v>
      </c>
      <c r="W5374" s="45" t="str">
        <f>HYPERLINK("http://ictvonline.org/taxonomy/p/taxonomy-history?taxnode_id=201854764","ICTVonline=201854764")</f>
        <v>ICTVonline=201854764</v>
      </c>
      <c r="AA5374" s="1">
        <v>201850000</v>
      </c>
      <c r="AB5374" s="1">
        <v>34</v>
      </c>
    </row>
    <row r="5375" spans="1:28" x14ac:dyDescent="0.15">
      <c r="A5375" s="1">
        <v>13355</v>
      </c>
      <c r="L5375" s="1" t="s">
        <v>2079</v>
      </c>
      <c r="M5375" s="1" t="s">
        <v>2080</v>
      </c>
      <c r="N5375" s="1" t="s">
        <v>494</v>
      </c>
      <c r="P5375" s="1" t="s">
        <v>1928</v>
      </c>
      <c r="Q5375" s="3">
        <v>1</v>
      </c>
      <c r="S5375" s="23" t="s">
        <v>5949</v>
      </c>
      <c r="W5375" s="45" t="str">
        <f>HYPERLINK("http://ictvonline.org/taxonomy/p/taxonomy-history?taxnode_id=201854766","ICTVonline=201854766")</f>
        <v>ICTVonline=201854766</v>
      </c>
      <c r="AA5375" s="1">
        <v>201850000</v>
      </c>
      <c r="AB5375" s="1">
        <v>34</v>
      </c>
    </row>
    <row r="5376" spans="1:28" x14ac:dyDescent="0.15">
      <c r="A5376" s="1">
        <v>13359</v>
      </c>
      <c r="L5376" s="1" t="s">
        <v>2079</v>
      </c>
      <c r="M5376" s="1" t="s">
        <v>2080</v>
      </c>
      <c r="N5376" s="1" t="s">
        <v>1220</v>
      </c>
      <c r="P5376" s="1" t="s">
        <v>1221</v>
      </c>
      <c r="Q5376" s="3">
        <v>0</v>
      </c>
      <c r="S5376" s="23" t="s">
        <v>5949</v>
      </c>
      <c r="W5376" s="45" t="str">
        <f>HYPERLINK("http://ictvonline.org/taxonomy/p/taxonomy-history?taxnode_id=201854768","ICTVonline=201854768")</f>
        <v>ICTVonline=201854768</v>
      </c>
      <c r="AA5376" s="1">
        <v>201850000</v>
      </c>
      <c r="AB5376" s="1">
        <v>34</v>
      </c>
    </row>
    <row r="5377" spans="1:28" x14ac:dyDescent="0.15">
      <c r="A5377" s="1">
        <v>13361</v>
      </c>
      <c r="L5377" s="1" t="s">
        <v>2079</v>
      </c>
      <c r="M5377" s="1" t="s">
        <v>2080</v>
      </c>
      <c r="N5377" s="1" t="s">
        <v>1220</v>
      </c>
      <c r="P5377" s="1" t="s">
        <v>1222</v>
      </c>
      <c r="Q5377" s="3">
        <v>0</v>
      </c>
      <c r="S5377" s="23" t="s">
        <v>5949</v>
      </c>
      <c r="W5377" s="45" t="str">
        <f>HYPERLINK("http://ictvonline.org/taxonomy/p/taxonomy-history?taxnode_id=201854769","ICTVonline=201854769")</f>
        <v>ICTVonline=201854769</v>
      </c>
      <c r="AA5377" s="1">
        <v>201850000</v>
      </c>
      <c r="AB5377" s="1">
        <v>34</v>
      </c>
    </row>
    <row r="5378" spans="1:28" x14ac:dyDescent="0.15">
      <c r="A5378" s="1">
        <v>13363</v>
      </c>
      <c r="L5378" s="1" t="s">
        <v>2079</v>
      </c>
      <c r="M5378" s="1" t="s">
        <v>2080</v>
      </c>
      <c r="N5378" s="1" t="s">
        <v>1220</v>
      </c>
      <c r="P5378" s="1" t="s">
        <v>1223</v>
      </c>
      <c r="Q5378" s="3">
        <v>0</v>
      </c>
      <c r="S5378" s="23" t="s">
        <v>5949</v>
      </c>
      <c r="W5378" s="45" t="str">
        <f>HYPERLINK("http://ictvonline.org/taxonomy/p/taxonomy-history?taxnode_id=201854770","ICTVonline=201854770")</f>
        <v>ICTVonline=201854770</v>
      </c>
      <c r="AA5378" s="1">
        <v>201850000</v>
      </c>
      <c r="AB5378" s="1">
        <v>34</v>
      </c>
    </row>
    <row r="5379" spans="1:28" x14ac:dyDescent="0.15">
      <c r="A5379" s="1">
        <v>13365</v>
      </c>
      <c r="L5379" s="1" t="s">
        <v>2079</v>
      </c>
      <c r="M5379" s="1" t="s">
        <v>2080</v>
      </c>
      <c r="N5379" s="1" t="s">
        <v>1220</v>
      </c>
      <c r="P5379" s="1" t="s">
        <v>1224</v>
      </c>
      <c r="Q5379" s="3">
        <v>0</v>
      </c>
      <c r="S5379" s="23" t="s">
        <v>5949</v>
      </c>
      <c r="W5379" s="45" t="str">
        <f>HYPERLINK("http://ictvonline.org/taxonomy/p/taxonomy-history?taxnode_id=201854771","ICTVonline=201854771")</f>
        <v>ICTVonline=201854771</v>
      </c>
      <c r="AA5379" s="1">
        <v>201850000</v>
      </c>
      <c r="AB5379" s="1">
        <v>34</v>
      </c>
    </row>
    <row r="5380" spans="1:28" x14ac:dyDescent="0.15">
      <c r="A5380" s="1">
        <v>13367</v>
      </c>
      <c r="L5380" s="1" t="s">
        <v>2079</v>
      </c>
      <c r="M5380" s="1" t="s">
        <v>2080</v>
      </c>
      <c r="N5380" s="1" t="s">
        <v>1220</v>
      </c>
      <c r="P5380" s="1" t="s">
        <v>1225</v>
      </c>
      <c r="Q5380" s="3">
        <v>0</v>
      </c>
      <c r="S5380" s="23" t="s">
        <v>5949</v>
      </c>
      <c r="W5380" s="45" t="str">
        <f>HYPERLINK("http://ictvonline.org/taxonomy/p/taxonomy-history?taxnode_id=201854772","ICTVonline=201854772")</f>
        <v>ICTVonline=201854772</v>
      </c>
      <c r="AA5380" s="1">
        <v>201850000</v>
      </c>
      <c r="AB5380" s="1">
        <v>34</v>
      </c>
    </row>
    <row r="5381" spans="1:28" x14ac:dyDescent="0.15">
      <c r="A5381" s="1">
        <v>13369</v>
      </c>
      <c r="L5381" s="1" t="s">
        <v>2079</v>
      </c>
      <c r="M5381" s="1" t="s">
        <v>2080</v>
      </c>
      <c r="N5381" s="1" t="s">
        <v>1220</v>
      </c>
      <c r="P5381" s="1" t="s">
        <v>203</v>
      </c>
      <c r="Q5381" s="3">
        <v>0</v>
      </c>
      <c r="S5381" s="23" t="s">
        <v>5949</v>
      </c>
      <c r="W5381" s="45" t="str">
        <f>HYPERLINK("http://ictvonline.org/taxonomy/p/taxonomy-history?taxnode_id=201854773","ICTVonline=201854773")</f>
        <v>ICTVonline=201854773</v>
      </c>
      <c r="AA5381" s="1">
        <v>201850000</v>
      </c>
      <c r="AB5381" s="1">
        <v>34</v>
      </c>
    </row>
    <row r="5382" spans="1:28" x14ac:dyDescent="0.15">
      <c r="A5382" s="1">
        <v>13371</v>
      </c>
      <c r="L5382" s="1" t="s">
        <v>2079</v>
      </c>
      <c r="M5382" s="1" t="s">
        <v>2080</v>
      </c>
      <c r="N5382" s="1" t="s">
        <v>1220</v>
      </c>
      <c r="P5382" s="1" t="s">
        <v>1226</v>
      </c>
      <c r="Q5382" s="3">
        <v>0</v>
      </c>
      <c r="S5382" s="23" t="s">
        <v>5949</v>
      </c>
      <c r="W5382" s="45" t="str">
        <f>HYPERLINK("http://ictvonline.org/taxonomy/p/taxonomy-history?taxnode_id=201854774","ICTVonline=201854774")</f>
        <v>ICTVonline=201854774</v>
      </c>
      <c r="AA5382" s="1">
        <v>201850000</v>
      </c>
      <c r="AB5382" s="1">
        <v>34</v>
      </c>
    </row>
    <row r="5383" spans="1:28" x14ac:dyDescent="0.15">
      <c r="A5383" s="1">
        <v>13373</v>
      </c>
      <c r="L5383" s="1" t="s">
        <v>2079</v>
      </c>
      <c r="M5383" s="1" t="s">
        <v>2080</v>
      </c>
      <c r="N5383" s="1" t="s">
        <v>1220</v>
      </c>
      <c r="P5383" s="1" t="s">
        <v>1227</v>
      </c>
      <c r="Q5383" s="3">
        <v>1</v>
      </c>
      <c r="S5383" s="23" t="s">
        <v>5949</v>
      </c>
      <c r="W5383" s="45" t="str">
        <f>HYPERLINK("http://ictvonline.org/taxonomy/p/taxonomy-history?taxnode_id=201854775","ICTVonline=201854775")</f>
        <v>ICTVonline=201854775</v>
      </c>
      <c r="AA5383" s="1">
        <v>201850000</v>
      </c>
      <c r="AB5383" s="1">
        <v>34</v>
      </c>
    </row>
    <row r="5384" spans="1:28" x14ac:dyDescent="0.15">
      <c r="A5384" s="1">
        <v>13375</v>
      </c>
      <c r="L5384" s="1" t="s">
        <v>2079</v>
      </c>
      <c r="M5384" s="1" t="s">
        <v>2080</v>
      </c>
      <c r="N5384" s="1" t="s">
        <v>1220</v>
      </c>
      <c r="P5384" s="1" t="s">
        <v>1228</v>
      </c>
      <c r="Q5384" s="3">
        <v>0</v>
      </c>
      <c r="S5384" s="23" t="s">
        <v>5949</v>
      </c>
      <c r="W5384" s="45" t="str">
        <f>HYPERLINK("http://ictvonline.org/taxonomy/p/taxonomy-history?taxnode_id=201854776","ICTVonline=201854776")</f>
        <v>ICTVonline=201854776</v>
      </c>
      <c r="AA5384" s="1">
        <v>201850000</v>
      </c>
      <c r="AB5384" s="1">
        <v>34</v>
      </c>
    </row>
    <row r="5385" spans="1:28" x14ac:dyDescent="0.15">
      <c r="A5385" s="1">
        <v>13377</v>
      </c>
      <c r="L5385" s="1" t="s">
        <v>2079</v>
      </c>
      <c r="M5385" s="1" t="s">
        <v>2080</v>
      </c>
      <c r="N5385" s="1" t="s">
        <v>1220</v>
      </c>
      <c r="P5385" s="1" t="s">
        <v>1229</v>
      </c>
      <c r="Q5385" s="3">
        <v>0</v>
      </c>
      <c r="S5385" s="23" t="s">
        <v>5949</v>
      </c>
      <c r="W5385" s="45" t="str">
        <f>HYPERLINK("http://ictvonline.org/taxonomy/p/taxonomy-history?taxnode_id=201854777","ICTVonline=201854777")</f>
        <v>ICTVonline=201854777</v>
      </c>
      <c r="AA5385" s="1">
        <v>201850000</v>
      </c>
      <c r="AB5385" s="1">
        <v>34</v>
      </c>
    </row>
    <row r="5386" spans="1:28" x14ac:dyDescent="0.15">
      <c r="A5386" s="1">
        <v>13381</v>
      </c>
      <c r="L5386" s="1" t="s">
        <v>2079</v>
      </c>
      <c r="M5386" s="1" t="s">
        <v>2080</v>
      </c>
      <c r="N5386" s="1" t="s">
        <v>1230</v>
      </c>
      <c r="P5386" s="1" t="s">
        <v>1231</v>
      </c>
      <c r="Q5386" s="3">
        <v>0</v>
      </c>
      <c r="S5386" s="23" t="s">
        <v>5949</v>
      </c>
      <c r="W5386" s="45" t="str">
        <f>HYPERLINK("http://ictvonline.org/taxonomy/p/taxonomy-history?taxnode_id=201854779","ICTVonline=201854779")</f>
        <v>ICTVonline=201854779</v>
      </c>
      <c r="AA5386" s="1">
        <v>201850000</v>
      </c>
      <c r="AB5386" s="1">
        <v>34</v>
      </c>
    </row>
    <row r="5387" spans="1:28" x14ac:dyDescent="0.15">
      <c r="A5387" s="1">
        <v>13383</v>
      </c>
      <c r="L5387" s="1" t="s">
        <v>2079</v>
      </c>
      <c r="M5387" s="1" t="s">
        <v>2080</v>
      </c>
      <c r="N5387" s="1" t="s">
        <v>1230</v>
      </c>
      <c r="P5387" s="1" t="s">
        <v>1232</v>
      </c>
      <c r="Q5387" s="3">
        <v>1</v>
      </c>
      <c r="S5387" s="23" t="s">
        <v>5949</v>
      </c>
      <c r="W5387" s="45" t="str">
        <f>HYPERLINK("http://ictvonline.org/taxonomy/p/taxonomy-history?taxnode_id=201854780","ICTVonline=201854780")</f>
        <v>ICTVonline=201854780</v>
      </c>
      <c r="AA5387" s="1">
        <v>201850000</v>
      </c>
      <c r="AB5387" s="1">
        <v>34</v>
      </c>
    </row>
    <row r="5388" spans="1:28" x14ac:dyDescent="0.15">
      <c r="A5388" s="1">
        <v>13385</v>
      </c>
      <c r="L5388" s="1" t="s">
        <v>2079</v>
      </c>
      <c r="M5388" s="1" t="s">
        <v>2080</v>
      </c>
      <c r="N5388" s="1" t="s">
        <v>1230</v>
      </c>
      <c r="P5388" s="1" t="s">
        <v>1233</v>
      </c>
      <c r="Q5388" s="3">
        <v>0</v>
      </c>
      <c r="S5388" s="23" t="s">
        <v>5949</v>
      </c>
      <c r="W5388" s="45" t="str">
        <f>HYPERLINK("http://ictvonline.org/taxonomy/p/taxonomy-history?taxnode_id=201854781","ICTVonline=201854781")</f>
        <v>ICTVonline=201854781</v>
      </c>
      <c r="AA5388" s="1">
        <v>201850000</v>
      </c>
      <c r="AB5388" s="1">
        <v>34</v>
      </c>
    </row>
    <row r="5389" spans="1:28" x14ac:dyDescent="0.15">
      <c r="A5389" s="1">
        <v>13387</v>
      </c>
      <c r="L5389" s="1" t="s">
        <v>2079</v>
      </c>
      <c r="M5389" s="1" t="s">
        <v>2080</v>
      </c>
      <c r="N5389" s="1" t="s">
        <v>1230</v>
      </c>
      <c r="P5389" s="1" t="s">
        <v>1234</v>
      </c>
      <c r="Q5389" s="3">
        <v>0</v>
      </c>
      <c r="S5389" s="23" t="s">
        <v>5949</v>
      </c>
      <c r="W5389" s="45" t="str">
        <f>HYPERLINK("http://ictvonline.org/taxonomy/p/taxonomy-history?taxnode_id=201854782","ICTVonline=201854782")</f>
        <v>ICTVonline=201854782</v>
      </c>
      <c r="AA5389" s="1">
        <v>201850000</v>
      </c>
      <c r="AB5389" s="1">
        <v>34</v>
      </c>
    </row>
    <row r="5390" spans="1:28" x14ac:dyDescent="0.15">
      <c r="A5390" s="1">
        <v>13391</v>
      </c>
      <c r="L5390" s="1" t="s">
        <v>2079</v>
      </c>
      <c r="M5390" s="1" t="s">
        <v>2080</v>
      </c>
      <c r="N5390" s="1" t="s">
        <v>1235</v>
      </c>
      <c r="P5390" s="1" t="s">
        <v>1236</v>
      </c>
      <c r="Q5390" s="3">
        <v>1</v>
      </c>
      <c r="S5390" s="23" t="s">
        <v>5949</v>
      </c>
      <c r="W5390" s="45" t="str">
        <f>HYPERLINK("http://ictvonline.org/taxonomy/p/taxonomy-history?taxnode_id=201854784","ICTVonline=201854784")</f>
        <v>ICTVonline=201854784</v>
      </c>
      <c r="AA5390" s="1">
        <v>201850000</v>
      </c>
      <c r="AB5390" s="1">
        <v>34</v>
      </c>
    </row>
    <row r="5391" spans="1:28" x14ac:dyDescent="0.15">
      <c r="A5391" s="1">
        <v>13395</v>
      </c>
      <c r="L5391" s="1" t="s">
        <v>2079</v>
      </c>
      <c r="M5391" s="1" t="s">
        <v>2080</v>
      </c>
      <c r="N5391" s="1" t="s">
        <v>770</v>
      </c>
      <c r="P5391" s="1" t="s">
        <v>771</v>
      </c>
      <c r="Q5391" s="3">
        <v>0</v>
      </c>
      <c r="S5391" s="23" t="s">
        <v>5949</v>
      </c>
      <c r="W5391" s="45" t="str">
        <f>HYPERLINK("http://ictvonline.org/taxonomy/p/taxonomy-history?taxnode_id=201854789","ICTVonline=201854789")</f>
        <v>ICTVonline=201854789</v>
      </c>
      <c r="AA5391" s="1">
        <v>201850000</v>
      </c>
      <c r="AB5391" s="1">
        <v>34</v>
      </c>
    </row>
    <row r="5392" spans="1:28" x14ac:dyDescent="0.15">
      <c r="A5392" s="1">
        <v>13397</v>
      </c>
      <c r="L5392" s="1" t="s">
        <v>2079</v>
      </c>
      <c r="M5392" s="1" t="s">
        <v>2080</v>
      </c>
      <c r="N5392" s="1" t="s">
        <v>770</v>
      </c>
      <c r="P5392" s="1" t="s">
        <v>769</v>
      </c>
      <c r="Q5392" s="3">
        <v>1</v>
      </c>
      <c r="S5392" s="23" t="s">
        <v>5949</v>
      </c>
      <c r="W5392" s="45" t="str">
        <f>HYPERLINK("http://ictvonline.org/taxonomy/p/taxonomy-history?taxnode_id=201854790","ICTVonline=201854790")</f>
        <v>ICTVonline=201854790</v>
      </c>
      <c r="AA5392" s="1">
        <v>201850000</v>
      </c>
      <c r="AB5392" s="1">
        <v>34</v>
      </c>
    </row>
    <row r="5393" spans="1:28" x14ac:dyDescent="0.15">
      <c r="A5393" s="1">
        <v>13400</v>
      </c>
      <c r="L5393" s="1" t="s">
        <v>2079</v>
      </c>
      <c r="M5393" s="1" t="s">
        <v>2080</v>
      </c>
      <c r="P5393" s="1" t="s">
        <v>4833</v>
      </c>
      <c r="Q5393" s="3">
        <v>0</v>
      </c>
      <c r="S5393" s="23" t="s">
        <v>5949</v>
      </c>
      <c r="W5393" s="45" t="str">
        <f>HYPERLINK("http://ictvonline.org/taxonomy/p/taxonomy-history?taxnode_id=201854786","ICTVonline=201854786")</f>
        <v>ICTVonline=201854786</v>
      </c>
      <c r="AA5393" s="1">
        <v>201850000</v>
      </c>
      <c r="AB5393" s="1">
        <v>34</v>
      </c>
    </row>
    <row r="5394" spans="1:28" x14ac:dyDescent="0.15">
      <c r="A5394" s="1">
        <v>13402</v>
      </c>
      <c r="L5394" s="1" t="s">
        <v>2079</v>
      </c>
      <c r="M5394" s="1" t="s">
        <v>2080</v>
      </c>
      <c r="P5394" s="1" t="s">
        <v>204</v>
      </c>
      <c r="Q5394" s="3">
        <v>0</v>
      </c>
      <c r="S5394" s="23" t="s">
        <v>5949</v>
      </c>
      <c r="W5394" s="45" t="str">
        <f>HYPERLINK("http://ictvonline.org/taxonomy/p/taxonomy-history?taxnode_id=201854787","ICTVonline=201854787")</f>
        <v>ICTVonline=201854787</v>
      </c>
      <c r="AA5394" s="1">
        <v>201850000</v>
      </c>
      <c r="AB5394" s="1">
        <v>34</v>
      </c>
    </row>
    <row r="5395" spans="1:28" x14ac:dyDescent="0.15">
      <c r="A5395" s="1">
        <v>13407</v>
      </c>
      <c r="L5395" s="1" t="s">
        <v>2079</v>
      </c>
      <c r="M5395" s="1" t="s">
        <v>772</v>
      </c>
      <c r="N5395" s="1" t="s">
        <v>1805</v>
      </c>
      <c r="P5395" s="1" t="s">
        <v>665</v>
      </c>
      <c r="Q5395" s="3">
        <v>0</v>
      </c>
      <c r="S5395" s="23" t="s">
        <v>5949</v>
      </c>
      <c r="W5395" s="45" t="str">
        <f>HYPERLINK("http://ictvonline.org/taxonomy/p/taxonomy-history?taxnode_id=201854793","ICTVonline=201854793")</f>
        <v>ICTVonline=201854793</v>
      </c>
      <c r="AA5395" s="1">
        <v>201850000</v>
      </c>
      <c r="AB5395" s="1">
        <v>34</v>
      </c>
    </row>
    <row r="5396" spans="1:28" x14ac:dyDescent="0.15">
      <c r="A5396" s="1">
        <v>13409</v>
      </c>
      <c r="L5396" s="1" t="s">
        <v>2079</v>
      </c>
      <c r="M5396" s="1" t="s">
        <v>772</v>
      </c>
      <c r="N5396" s="1" t="s">
        <v>1805</v>
      </c>
      <c r="P5396" s="1" t="s">
        <v>666</v>
      </c>
      <c r="Q5396" s="3">
        <v>0</v>
      </c>
      <c r="S5396" s="23" t="s">
        <v>5949</v>
      </c>
      <c r="W5396" s="45" t="str">
        <f>HYPERLINK("http://ictvonline.org/taxonomy/p/taxonomy-history?taxnode_id=201854794","ICTVonline=201854794")</f>
        <v>ICTVonline=201854794</v>
      </c>
      <c r="AA5396" s="1">
        <v>201850000</v>
      </c>
      <c r="AB5396" s="1">
        <v>34</v>
      </c>
    </row>
    <row r="5397" spans="1:28" x14ac:dyDescent="0.15">
      <c r="A5397" s="1">
        <v>13411</v>
      </c>
      <c r="L5397" s="1" t="s">
        <v>2079</v>
      </c>
      <c r="M5397" s="1" t="s">
        <v>772</v>
      </c>
      <c r="N5397" s="1" t="s">
        <v>1805</v>
      </c>
      <c r="P5397" s="1" t="s">
        <v>2709</v>
      </c>
      <c r="Q5397" s="3">
        <v>0</v>
      </c>
      <c r="S5397" s="23" t="s">
        <v>5949</v>
      </c>
      <c r="W5397" s="45" t="str">
        <f>HYPERLINK("http://ictvonline.org/taxonomy/p/taxonomy-history?taxnode_id=201854795","ICTVonline=201854795")</f>
        <v>ICTVonline=201854795</v>
      </c>
      <c r="AA5397" s="1">
        <v>201850000</v>
      </c>
      <c r="AB5397" s="1">
        <v>34</v>
      </c>
    </row>
    <row r="5398" spans="1:28" x14ac:dyDescent="0.15">
      <c r="A5398" s="1">
        <v>13413</v>
      </c>
      <c r="L5398" s="1" t="s">
        <v>2079</v>
      </c>
      <c r="M5398" s="1" t="s">
        <v>772</v>
      </c>
      <c r="N5398" s="1" t="s">
        <v>1805</v>
      </c>
      <c r="P5398" s="1" t="s">
        <v>1806</v>
      </c>
      <c r="Q5398" s="3">
        <v>0</v>
      </c>
      <c r="S5398" s="23" t="s">
        <v>5949</v>
      </c>
      <c r="W5398" s="45" t="str">
        <f>HYPERLINK("http://ictvonline.org/taxonomy/p/taxonomy-history?taxnode_id=201854796","ICTVonline=201854796")</f>
        <v>ICTVonline=201854796</v>
      </c>
      <c r="AA5398" s="1">
        <v>201850000</v>
      </c>
      <c r="AB5398" s="1">
        <v>34</v>
      </c>
    </row>
    <row r="5399" spans="1:28" x14ac:dyDescent="0.15">
      <c r="A5399" s="1">
        <v>13415</v>
      </c>
      <c r="L5399" s="1" t="s">
        <v>2079</v>
      </c>
      <c r="M5399" s="1" t="s">
        <v>772</v>
      </c>
      <c r="N5399" s="1" t="s">
        <v>1805</v>
      </c>
      <c r="P5399" s="1" t="s">
        <v>2710</v>
      </c>
      <c r="Q5399" s="3">
        <v>0</v>
      </c>
      <c r="S5399" s="23" t="s">
        <v>5949</v>
      </c>
      <c r="W5399" s="45" t="str">
        <f>HYPERLINK("http://ictvonline.org/taxonomy/p/taxonomy-history?taxnode_id=201854797","ICTVonline=201854797")</f>
        <v>ICTVonline=201854797</v>
      </c>
      <c r="AA5399" s="1">
        <v>201850000</v>
      </c>
      <c r="AB5399" s="1">
        <v>34</v>
      </c>
    </row>
    <row r="5400" spans="1:28" x14ac:dyDescent="0.15">
      <c r="A5400" s="1">
        <v>13417</v>
      </c>
      <c r="L5400" s="1" t="s">
        <v>2079</v>
      </c>
      <c r="M5400" s="1" t="s">
        <v>772</v>
      </c>
      <c r="N5400" s="1" t="s">
        <v>1805</v>
      </c>
      <c r="P5400" s="1" t="s">
        <v>1807</v>
      </c>
      <c r="Q5400" s="3">
        <v>0</v>
      </c>
      <c r="S5400" s="23" t="s">
        <v>5949</v>
      </c>
      <c r="W5400" s="45" t="str">
        <f>HYPERLINK("http://ictvonline.org/taxonomy/p/taxonomy-history?taxnode_id=201854798","ICTVonline=201854798")</f>
        <v>ICTVonline=201854798</v>
      </c>
      <c r="AA5400" s="1">
        <v>201850000</v>
      </c>
      <c r="AB5400" s="1">
        <v>34</v>
      </c>
    </row>
    <row r="5401" spans="1:28" x14ac:dyDescent="0.15">
      <c r="A5401" s="1">
        <v>13419</v>
      </c>
      <c r="L5401" s="1" t="s">
        <v>2079</v>
      </c>
      <c r="M5401" s="1" t="s">
        <v>772</v>
      </c>
      <c r="N5401" s="1" t="s">
        <v>1805</v>
      </c>
      <c r="P5401" s="1" t="s">
        <v>672</v>
      </c>
      <c r="Q5401" s="3">
        <v>1</v>
      </c>
      <c r="S5401" s="23" t="s">
        <v>5949</v>
      </c>
      <c r="W5401" s="45" t="str">
        <f>HYPERLINK("http://ictvonline.org/taxonomy/p/taxonomy-history?taxnode_id=201854799","ICTVonline=201854799")</f>
        <v>ICTVonline=201854799</v>
      </c>
      <c r="AA5401" s="1">
        <v>201850000</v>
      </c>
      <c r="AB5401" s="1">
        <v>34</v>
      </c>
    </row>
    <row r="5402" spans="1:28" x14ac:dyDescent="0.15">
      <c r="A5402" s="1">
        <v>13423</v>
      </c>
      <c r="L5402" s="1" t="s">
        <v>2079</v>
      </c>
      <c r="M5402" s="1" t="s">
        <v>772</v>
      </c>
      <c r="N5402" s="1" t="s">
        <v>673</v>
      </c>
      <c r="P5402" s="1" t="s">
        <v>2711</v>
      </c>
      <c r="Q5402" s="3">
        <v>0</v>
      </c>
      <c r="S5402" s="23" t="s">
        <v>5949</v>
      </c>
      <c r="W5402" s="45" t="str">
        <f>HYPERLINK("http://ictvonline.org/taxonomy/p/taxonomy-history?taxnode_id=201854801","ICTVonline=201854801")</f>
        <v>ICTVonline=201854801</v>
      </c>
      <c r="AA5402" s="1">
        <v>201850000</v>
      </c>
      <c r="AB5402" s="1">
        <v>34</v>
      </c>
    </row>
    <row r="5403" spans="1:28" x14ac:dyDescent="0.15">
      <c r="A5403" s="1">
        <v>13425</v>
      </c>
      <c r="L5403" s="1" t="s">
        <v>2079</v>
      </c>
      <c r="M5403" s="1" t="s">
        <v>772</v>
      </c>
      <c r="N5403" s="1" t="s">
        <v>673</v>
      </c>
      <c r="P5403" s="1" t="s">
        <v>2712</v>
      </c>
      <c r="Q5403" s="3">
        <v>0</v>
      </c>
      <c r="S5403" s="23" t="s">
        <v>5949</v>
      </c>
      <c r="W5403" s="45" t="str">
        <f>HYPERLINK("http://ictvonline.org/taxonomy/p/taxonomy-history?taxnode_id=201854802","ICTVonline=201854802")</f>
        <v>ICTVonline=201854802</v>
      </c>
      <c r="AA5403" s="1">
        <v>201850000</v>
      </c>
      <c r="AB5403" s="1">
        <v>34</v>
      </c>
    </row>
    <row r="5404" spans="1:28" x14ac:dyDescent="0.15">
      <c r="A5404" s="1">
        <v>13427</v>
      </c>
      <c r="L5404" s="1" t="s">
        <v>2079</v>
      </c>
      <c r="M5404" s="1" t="s">
        <v>772</v>
      </c>
      <c r="N5404" s="1" t="s">
        <v>673</v>
      </c>
      <c r="P5404" s="1" t="s">
        <v>2713</v>
      </c>
      <c r="Q5404" s="3">
        <v>1</v>
      </c>
      <c r="S5404" s="23" t="s">
        <v>5949</v>
      </c>
      <c r="W5404" s="45" t="str">
        <f>HYPERLINK("http://ictvonline.org/taxonomy/p/taxonomy-history?taxnode_id=201854803","ICTVonline=201854803")</f>
        <v>ICTVonline=201854803</v>
      </c>
      <c r="AA5404" s="1">
        <v>201850000</v>
      </c>
      <c r="AB5404" s="1">
        <v>34</v>
      </c>
    </row>
    <row r="5405" spans="1:28" x14ac:dyDescent="0.15">
      <c r="A5405" s="1">
        <v>13429</v>
      </c>
      <c r="L5405" s="1" t="s">
        <v>2079</v>
      </c>
      <c r="M5405" s="1" t="s">
        <v>772</v>
      </c>
      <c r="N5405" s="1" t="s">
        <v>673</v>
      </c>
      <c r="P5405" s="1" t="s">
        <v>2714</v>
      </c>
      <c r="Q5405" s="3">
        <v>0</v>
      </c>
      <c r="S5405" s="23" t="s">
        <v>5949</v>
      </c>
      <c r="W5405" s="45" t="str">
        <f>HYPERLINK("http://ictvonline.org/taxonomy/p/taxonomy-history?taxnode_id=201854804","ICTVonline=201854804")</f>
        <v>ICTVonline=201854804</v>
      </c>
      <c r="AA5405" s="1">
        <v>201850000</v>
      </c>
      <c r="AB5405" s="1">
        <v>34</v>
      </c>
    </row>
    <row r="5406" spans="1:28" x14ac:dyDescent="0.15">
      <c r="A5406" s="1">
        <v>13431</v>
      </c>
      <c r="L5406" s="1" t="s">
        <v>2079</v>
      </c>
      <c r="M5406" s="1" t="s">
        <v>772</v>
      </c>
      <c r="N5406" s="1" t="s">
        <v>673</v>
      </c>
      <c r="P5406" s="1" t="s">
        <v>2715</v>
      </c>
      <c r="Q5406" s="3">
        <v>0</v>
      </c>
      <c r="S5406" s="23" t="s">
        <v>5949</v>
      </c>
      <c r="W5406" s="45" t="str">
        <f>HYPERLINK("http://ictvonline.org/taxonomy/p/taxonomy-history?taxnode_id=201854805","ICTVonline=201854805")</f>
        <v>ICTVonline=201854805</v>
      </c>
      <c r="AA5406" s="1">
        <v>201850000</v>
      </c>
      <c r="AB5406" s="1">
        <v>34</v>
      </c>
    </row>
    <row r="5407" spans="1:28" x14ac:dyDescent="0.15">
      <c r="A5407" s="1">
        <v>13433</v>
      </c>
      <c r="L5407" s="1" t="s">
        <v>2079</v>
      </c>
      <c r="M5407" s="1" t="s">
        <v>772</v>
      </c>
      <c r="N5407" s="1" t="s">
        <v>673</v>
      </c>
      <c r="P5407" s="1" t="s">
        <v>2716</v>
      </c>
      <c r="Q5407" s="3">
        <v>0</v>
      </c>
      <c r="S5407" s="23" t="s">
        <v>5949</v>
      </c>
      <c r="W5407" s="45" t="str">
        <f>HYPERLINK("http://ictvonline.org/taxonomy/p/taxonomy-history?taxnode_id=201854806","ICTVonline=201854806")</f>
        <v>ICTVonline=201854806</v>
      </c>
      <c r="AA5407" s="1">
        <v>201850000</v>
      </c>
      <c r="AB5407" s="1">
        <v>34</v>
      </c>
    </row>
    <row r="5408" spans="1:28" x14ac:dyDescent="0.15">
      <c r="A5408" s="1">
        <v>13435</v>
      </c>
      <c r="L5408" s="1" t="s">
        <v>2079</v>
      </c>
      <c r="M5408" s="1" t="s">
        <v>772</v>
      </c>
      <c r="N5408" s="1" t="s">
        <v>673</v>
      </c>
      <c r="P5408" s="1" t="s">
        <v>2717</v>
      </c>
      <c r="Q5408" s="3">
        <v>0</v>
      </c>
      <c r="S5408" s="23" t="s">
        <v>5949</v>
      </c>
      <c r="W5408" s="45" t="str">
        <f>HYPERLINK("http://ictvonline.org/taxonomy/p/taxonomy-history?taxnode_id=201854807","ICTVonline=201854807")</f>
        <v>ICTVonline=201854807</v>
      </c>
      <c r="AA5408" s="1">
        <v>201850000</v>
      </c>
      <c r="AB5408" s="1">
        <v>34</v>
      </c>
    </row>
    <row r="5409" spans="1:28" x14ac:dyDescent="0.15">
      <c r="A5409" s="1">
        <v>13437</v>
      </c>
      <c r="L5409" s="1" t="s">
        <v>2079</v>
      </c>
      <c r="M5409" s="1" t="s">
        <v>772</v>
      </c>
      <c r="N5409" s="1" t="s">
        <v>673</v>
      </c>
      <c r="P5409" s="1" t="s">
        <v>2718</v>
      </c>
      <c r="Q5409" s="3">
        <v>0</v>
      </c>
      <c r="S5409" s="23" t="s">
        <v>5949</v>
      </c>
      <c r="W5409" s="45" t="str">
        <f>HYPERLINK("http://ictvonline.org/taxonomy/p/taxonomy-history?taxnode_id=201854808","ICTVonline=201854808")</f>
        <v>ICTVonline=201854808</v>
      </c>
      <c r="AA5409" s="1">
        <v>201850000</v>
      </c>
      <c r="AB5409" s="1">
        <v>34</v>
      </c>
    </row>
    <row r="5410" spans="1:28" x14ac:dyDescent="0.15">
      <c r="A5410" s="1">
        <v>13439</v>
      </c>
      <c r="L5410" s="1" t="s">
        <v>2079</v>
      </c>
      <c r="M5410" s="1" t="s">
        <v>772</v>
      </c>
      <c r="N5410" s="1" t="s">
        <v>673</v>
      </c>
      <c r="P5410" s="1" t="s">
        <v>2719</v>
      </c>
      <c r="Q5410" s="3">
        <v>0</v>
      </c>
      <c r="S5410" s="23" t="s">
        <v>5949</v>
      </c>
      <c r="W5410" s="45" t="str">
        <f>HYPERLINK("http://ictvonline.org/taxonomy/p/taxonomy-history?taxnode_id=201854809","ICTVonline=201854809")</f>
        <v>ICTVonline=201854809</v>
      </c>
      <c r="AA5410" s="1">
        <v>201850000</v>
      </c>
      <c r="AB5410" s="1">
        <v>34</v>
      </c>
    </row>
    <row r="5411" spans="1:28" x14ac:dyDescent="0.15">
      <c r="A5411" s="1">
        <v>13441</v>
      </c>
      <c r="L5411" s="1" t="s">
        <v>2079</v>
      </c>
      <c r="M5411" s="1" t="s">
        <v>772</v>
      </c>
      <c r="N5411" s="1" t="s">
        <v>673</v>
      </c>
      <c r="P5411" s="1" t="s">
        <v>2720</v>
      </c>
      <c r="Q5411" s="3">
        <v>0</v>
      </c>
      <c r="S5411" s="23" t="s">
        <v>5949</v>
      </c>
      <c r="W5411" s="45" t="str">
        <f>HYPERLINK("http://ictvonline.org/taxonomy/p/taxonomy-history?taxnode_id=201854810","ICTVonline=201854810")</f>
        <v>ICTVonline=201854810</v>
      </c>
      <c r="AA5411" s="1">
        <v>201850000</v>
      </c>
      <c r="AB5411" s="1">
        <v>34</v>
      </c>
    </row>
    <row r="5412" spans="1:28" x14ac:dyDescent="0.15">
      <c r="A5412" s="1">
        <v>13443</v>
      </c>
      <c r="L5412" s="1" t="s">
        <v>2079</v>
      </c>
      <c r="M5412" s="1" t="s">
        <v>772</v>
      </c>
      <c r="N5412" s="1" t="s">
        <v>673</v>
      </c>
      <c r="P5412" s="1" t="s">
        <v>2721</v>
      </c>
      <c r="Q5412" s="3">
        <v>0</v>
      </c>
      <c r="S5412" s="23" t="s">
        <v>5949</v>
      </c>
      <c r="W5412" s="45" t="str">
        <f>HYPERLINK("http://ictvonline.org/taxonomy/p/taxonomy-history?taxnode_id=201854811","ICTVonline=201854811")</f>
        <v>ICTVonline=201854811</v>
      </c>
      <c r="AA5412" s="1">
        <v>201850000</v>
      </c>
      <c r="AB5412" s="1">
        <v>34</v>
      </c>
    </row>
    <row r="5413" spans="1:28" x14ac:dyDescent="0.15">
      <c r="A5413" s="1">
        <v>13445</v>
      </c>
      <c r="L5413" s="1" t="s">
        <v>2079</v>
      </c>
      <c r="M5413" s="1" t="s">
        <v>772</v>
      </c>
      <c r="N5413" s="1" t="s">
        <v>673</v>
      </c>
      <c r="P5413" s="1" t="s">
        <v>2722</v>
      </c>
      <c r="Q5413" s="3">
        <v>0</v>
      </c>
      <c r="S5413" s="23" t="s">
        <v>5949</v>
      </c>
      <c r="W5413" s="45" t="str">
        <f>HYPERLINK("http://ictvonline.org/taxonomy/p/taxonomy-history?taxnode_id=201854812","ICTVonline=201854812")</f>
        <v>ICTVonline=201854812</v>
      </c>
      <c r="AA5413" s="1">
        <v>201850000</v>
      </c>
      <c r="AB5413" s="1">
        <v>34</v>
      </c>
    </row>
    <row r="5414" spans="1:28" x14ac:dyDescent="0.15">
      <c r="A5414" s="1">
        <v>13447</v>
      </c>
      <c r="L5414" s="1" t="s">
        <v>2079</v>
      </c>
      <c r="M5414" s="1" t="s">
        <v>772</v>
      </c>
      <c r="N5414" s="1" t="s">
        <v>673</v>
      </c>
      <c r="P5414" s="1" t="s">
        <v>2723</v>
      </c>
      <c r="Q5414" s="3">
        <v>0</v>
      </c>
      <c r="S5414" s="23" t="s">
        <v>5949</v>
      </c>
      <c r="W5414" s="45" t="str">
        <f>HYPERLINK("http://ictvonline.org/taxonomy/p/taxonomy-history?taxnode_id=201854813","ICTVonline=201854813")</f>
        <v>ICTVonline=201854813</v>
      </c>
      <c r="AA5414" s="1">
        <v>201850000</v>
      </c>
      <c r="AB5414" s="1">
        <v>34</v>
      </c>
    </row>
    <row r="5415" spans="1:28" x14ac:dyDescent="0.15">
      <c r="A5415" s="1">
        <v>13449</v>
      </c>
      <c r="L5415" s="1" t="s">
        <v>2079</v>
      </c>
      <c r="M5415" s="1" t="s">
        <v>772</v>
      </c>
      <c r="N5415" s="1" t="s">
        <v>673</v>
      </c>
      <c r="P5415" s="1" t="s">
        <v>2724</v>
      </c>
      <c r="Q5415" s="3">
        <v>0</v>
      </c>
      <c r="S5415" s="23" t="s">
        <v>5949</v>
      </c>
      <c r="W5415" s="45" t="str">
        <f>HYPERLINK("http://ictvonline.org/taxonomy/p/taxonomy-history?taxnode_id=201854814","ICTVonline=201854814")</f>
        <v>ICTVonline=201854814</v>
      </c>
      <c r="AA5415" s="1">
        <v>201850000</v>
      </c>
      <c r="AB5415" s="1">
        <v>34</v>
      </c>
    </row>
    <row r="5416" spans="1:28" x14ac:dyDescent="0.15">
      <c r="A5416" s="1">
        <v>13451</v>
      </c>
      <c r="L5416" s="1" t="s">
        <v>2079</v>
      </c>
      <c r="M5416" s="1" t="s">
        <v>772</v>
      </c>
      <c r="N5416" s="1" t="s">
        <v>673</v>
      </c>
      <c r="P5416" s="1" t="s">
        <v>2725</v>
      </c>
      <c r="Q5416" s="3">
        <v>0</v>
      </c>
      <c r="S5416" s="23" t="s">
        <v>5949</v>
      </c>
      <c r="W5416" s="45" t="str">
        <f>HYPERLINK("http://ictvonline.org/taxonomy/p/taxonomy-history?taxnode_id=201854815","ICTVonline=201854815")</f>
        <v>ICTVonline=201854815</v>
      </c>
      <c r="AA5416" s="1">
        <v>201850000</v>
      </c>
      <c r="AB5416" s="1">
        <v>34</v>
      </c>
    </row>
    <row r="5417" spans="1:28" x14ac:dyDescent="0.15">
      <c r="A5417" s="1">
        <v>13453</v>
      </c>
      <c r="L5417" s="1" t="s">
        <v>2079</v>
      </c>
      <c r="M5417" s="1" t="s">
        <v>772</v>
      </c>
      <c r="N5417" s="1" t="s">
        <v>673</v>
      </c>
      <c r="P5417" s="1" t="s">
        <v>2726</v>
      </c>
      <c r="Q5417" s="3">
        <v>0</v>
      </c>
      <c r="S5417" s="23" t="s">
        <v>5949</v>
      </c>
      <c r="W5417" s="45" t="str">
        <f>HYPERLINK("http://ictvonline.org/taxonomy/p/taxonomy-history?taxnode_id=201854816","ICTVonline=201854816")</f>
        <v>ICTVonline=201854816</v>
      </c>
      <c r="AA5417" s="1">
        <v>201850000</v>
      </c>
      <c r="AB5417" s="1">
        <v>34</v>
      </c>
    </row>
    <row r="5418" spans="1:28" x14ac:dyDescent="0.15">
      <c r="A5418" s="1">
        <v>13457</v>
      </c>
      <c r="L5418" s="1" t="s">
        <v>2079</v>
      </c>
      <c r="M5418" s="1" t="s">
        <v>772</v>
      </c>
      <c r="N5418" s="1" t="s">
        <v>1547</v>
      </c>
      <c r="P5418" s="1" t="s">
        <v>1548</v>
      </c>
      <c r="Q5418" s="3">
        <v>0</v>
      </c>
      <c r="S5418" s="23" t="s">
        <v>5949</v>
      </c>
      <c r="W5418" s="45" t="str">
        <f>HYPERLINK("http://ictvonline.org/taxonomy/p/taxonomy-history?taxnode_id=201854818","ICTVonline=201854818")</f>
        <v>ICTVonline=201854818</v>
      </c>
      <c r="AA5418" s="1">
        <v>201850000</v>
      </c>
      <c r="AB5418" s="1">
        <v>34</v>
      </c>
    </row>
    <row r="5419" spans="1:28" x14ac:dyDescent="0.15">
      <c r="A5419" s="1">
        <v>13459</v>
      </c>
      <c r="L5419" s="1" t="s">
        <v>2079</v>
      </c>
      <c r="M5419" s="1" t="s">
        <v>772</v>
      </c>
      <c r="N5419" s="1" t="s">
        <v>1547</v>
      </c>
      <c r="P5419" s="1" t="s">
        <v>1822</v>
      </c>
      <c r="Q5419" s="3">
        <v>0</v>
      </c>
      <c r="S5419" s="23" t="s">
        <v>5949</v>
      </c>
      <c r="W5419" s="45" t="str">
        <f>HYPERLINK("http://ictvonline.org/taxonomy/p/taxonomy-history?taxnode_id=201854819","ICTVonline=201854819")</f>
        <v>ICTVonline=201854819</v>
      </c>
      <c r="AA5419" s="1">
        <v>201850000</v>
      </c>
      <c r="AB5419" s="1">
        <v>34</v>
      </c>
    </row>
    <row r="5420" spans="1:28" x14ac:dyDescent="0.15">
      <c r="A5420" s="1">
        <v>13461</v>
      </c>
      <c r="L5420" s="1" t="s">
        <v>2079</v>
      </c>
      <c r="M5420" s="1" t="s">
        <v>772</v>
      </c>
      <c r="N5420" s="1" t="s">
        <v>1547</v>
      </c>
      <c r="P5420" s="1" t="s">
        <v>2021</v>
      </c>
      <c r="Q5420" s="3">
        <v>0</v>
      </c>
      <c r="S5420" s="23" t="s">
        <v>5949</v>
      </c>
      <c r="W5420" s="45" t="str">
        <f>HYPERLINK("http://ictvonline.org/taxonomy/p/taxonomy-history?taxnode_id=201854820","ICTVonline=201854820")</f>
        <v>ICTVonline=201854820</v>
      </c>
      <c r="AA5420" s="1">
        <v>201850000</v>
      </c>
      <c r="AB5420" s="1">
        <v>34</v>
      </c>
    </row>
    <row r="5421" spans="1:28" x14ac:dyDescent="0.15">
      <c r="A5421" s="1">
        <v>13463</v>
      </c>
      <c r="L5421" s="1" t="s">
        <v>2079</v>
      </c>
      <c r="M5421" s="1" t="s">
        <v>772</v>
      </c>
      <c r="N5421" s="1" t="s">
        <v>1547</v>
      </c>
      <c r="P5421" s="1" t="s">
        <v>2130</v>
      </c>
      <c r="Q5421" s="3">
        <v>1</v>
      </c>
      <c r="S5421" s="23" t="s">
        <v>5949</v>
      </c>
      <c r="W5421" s="45" t="str">
        <f>HYPERLINK("http://ictvonline.org/taxonomy/p/taxonomy-history?taxnode_id=201854821","ICTVonline=201854821")</f>
        <v>ICTVonline=201854821</v>
      </c>
      <c r="AA5421" s="1">
        <v>201850000</v>
      </c>
      <c r="AB5421" s="1">
        <v>34</v>
      </c>
    </row>
    <row r="5422" spans="1:28" x14ac:dyDescent="0.15">
      <c r="A5422" s="1">
        <v>13465</v>
      </c>
      <c r="L5422" s="1" t="s">
        <v>2079</v>
      </c>
      <c r="M5422" s="1" t="s">
        <v>772</v>
      </c>
      <c r="N5422" s="1" t="s">
        <v>1547</v>
      </c>
      <c r="P5422" s="1" t="s">
        <v>1521</v>
      </c>
      <c r="Q5422" s="3">
        <v>0</v>
      </c>
      <c r="S5422" s="23" t="s">
        <v>5949</v>
      </c>
      <c r="W5422" s="45" t="str">
        <f>HYPERLINK("http://ictvonline.org/taxonomy/p/taxonomy-history?taxnode_id=201854822","ICTVonline=201854822")</f>
        <v>ICTVonline=201854822</v>
      </c>
      <c r="AA5422" s="1">
        <v>201850000</v>
      </c>
      <c r="AB5422" s="1">
        <v>34</v>
      </c>
    </row>
    <row r="5423" spans="1:28" x14ac:dyDescent="0.15">
      <c r="A5423" s="1">
        <v>13467</v>
      </c>
      <c r="L5423" s="1" t="s">
        <v>2079</v>
      </c>
      <c r="M5423" s="1" t="s">
        <v>772</v>
      </c>
      <c r="N5423" s="1" t="s">
        <v>1547</v>
      </c>
      <c r="P5423" s="1" t="s">
        <v>2727</v>
      </c>
      <c r="Q5423" s="3">
        <v>0</v>
      </c>
      <c r="S5423" s="23" t="s">
        <v>5949</v>
      </c>
      <c r="W5423" s="45" t="str">
        <f>HYPERLINK("http://ictvonline.org/taxonomy/p/taxonomy-history?taxnode_id=201854823","ICTVonline=201854823")</f>
        <v>ICTVonline=201854823</v>
      </c>
      <c r="AA5423" s="1">
        <v>201850000</v>
      </c>
      <c r="AB5423" s="1">
        <v>34</v>
      </c>
    </row>
    <row r="5424" spans="1:28" x14ac:dyDescent="0.15">
      <c r="A5424" s="1">
        <v>13470</v>
      </c>
      <c r="L5424" s="1" t="s">
        <v>2079</v>
      </c>
      <c r="M5424" s="1" t="s">
        <v>772</v>
      </c>
      <c r="P5424" s="1" t="s">
        <v>2132</v>
      </c>
      <c r="Q5424" s="3">
        <v>0</v>
      </c>
      <c r="S5424" s="23" t="s">
        <v>5949</v>
      </c>
      <c r="W5424" s="45" t="str">
        <f>HYPERLINK("http://ictvonline.org/taxonomy/p/taxonomy-history?taxnode_id=201854825","ICTVonline=201854825")</f>
        <v>ICTVonline=201854825</v>
      </c>
      <c r="AA5424" s="1">
        <v>201850000</v>
      </c>
      <c r="AB5424" s="1">
        <v>34</v>
      </c>
    </row>
    <row r="5425" spans="1:28" x14ac:dyDescent="0.15">
      <c r="A5425" s="1">
        <v>13472</v>
      </c>
      <c r="L5425" s="1" t="s">
        <v>2079</v>
      </c>
      <c r="M5425" s="1" t="s">
        <v>772</v>
      </c>
      <c r="P5425" s="1" t="s">
        <v>5539</v>
      </c>
      <c r="Q5425" s="3">
        <v>0</v>
      </c>
      <c r="S5425" s="23" t="s">
        <v>5949</v>
      </c>
      <c r="W5425" s="45" t="str">
        <f>HYPERLINK("http://ictvonline.org/taxonomy/p/taxonomy-history?taxnode_id=201854826","ICTVonline=201854826")</f>
        <v>ICTVonline=201854826</v>
      </c>
      <c r="AA5425" s="1">
        <v>201850000</v>
      </c>
      <c r="AB5425" s="1">
        <v>34</v>
      </c>
    </row>
    <row r="5426" spans="1:28" x14ac:dyDescent="0.15">
      <c r="A5426" s="1">
        <v>13478</v>
      </c>
      <c r="L5426" s="1" t="s">
        <v>5541</v>
      </c>
      <c r="N5426" s="1" t="s">
        <v>5542</v>
      </c>
      <c r="P5426" s="1" t="s">
        <v>5543</v>
      </c>
      <c r="Q5426" s="3">
        <v>1</v>
      </c>
      <c r="S5426" s="23" t="s">
        <v>5949</v>
      </c>
      <c r="W5426" s="45" t="str">
        <f>HYPERLINK("http://ictvonline.org/taxonomy/p/taxonomy-history?taxnode_id=201855945","ICTVonline=201855945")</f>
        <v>ICTVonline=201855945</v>
      </c>
      <c r="AA5426" s="1">
        <v>201850000</v>
      </c>
      <c r="AB5426" s="1">
        <v>34</v>
      </c>
    </row>
    <row r="5427" spans="1:28" x14ac:dyDescent="0.15">
      <c r="A5427" s="1">
        <v>13480</v>
      </c>
      <c r="L5427" s="1" t="s">
        <v>5541</v>
      </c>
      <c r="N5427" s="1" t="s">
        <v>5542</v>
      </c>
      <c r="P5427" s="1" t="s">
        <v>5544</v>
      </c>
      <c r="Q5427" s="3">
        <v>0</v>
      </c>
      <c r="S5427" s="23" t="s">
        <v>5949</v>
      </c>
      <c r="W5427" s="45" t="str">
        <f>HYPERLINK("http://ictvonline.org/taxonomy/p/taxonomy-history?taxnode_id=201855946","ICTVonline=201855946")</f>
        <v>ICTVonline=201855946</v>
      </c>
      <c r="AA5427" s="1">
        <v>201850000</v>
      </c>
      <c r="AB5427" s="1">
        <v>34</v>
      </c>
    </row>
    <row r="5428" spans="1:28" x14ac:dyDescent="0.15">
      <c r="A5428" s="1">
        <v>13482</v>
      </c>
      <c r="L5428" s="1" t="s">
        <v>5541</v>
      </c>
      <c r="N5428" s="1" t="s">
        <v>5542</v>
      </c>
      <c r="P5428" s="1" t="s">
        <v>5545</v>
      </c>
      <c r="Q5428" s="3">
        <v>0</v>
      </c>
      <c r="S5428" s="23" t="s">
        <v>5949</v>
      </c>
      <c r="W5428" s="45" t="str">
        <f>HYPERLINK("http://ictvonline.org/taxonomy/p/taxonomy-history?taxnode_id=201855947","ICTVonline=201855947")</f>
        <v>ICTVonline=201855947</v>
      </c>
      <c r="AA5428" s="1">
        <v>201850000</v>
      </c>
      <c r="AB5428" s="1">
        <v>34</v>
      </c>
    </row>
    <row r="5429" spans="1:28" x14ac:dyDescent="0.15">
      <c r="A5429" s="1">
        <v>13486</v>
      </c>
      <c r="L5429" s="1" t="s">
        <v>5541</v>
      </c>
      <c r="N5429" s="1" t="s">
        <v>5546</v>
      </c>
      <c r="P5429" s="1" t="s">
        <v>5547</v>
      </c>
      <c r="Q5429" s="3">
        <v>1</v>
      </c>
      <c r="S5429" s="23" t="s">
        <v>5949</v>
      </c>
      <c r="W5429" s="45" t="str">
        <f>HYPERLINK("http://ictvonline.org/taxonomy/p/taxonomy-history?taxnode_id=201855949","ICTVonline=201855949")</f>
        <v>ICTVonline=201855949</v>
      </c>
      <c r="AA5429" s="1">
        <v>201850000</v>
      </c>
      <c r="AB5429" s="1">
        <v>34</v>
      </c>
    </row>
    <row r="5430" spans="1:28" x14ac:dyDescent="0.15">
      <c r="A5430" s="1">
        <v>13490</v>
      </c>
      <c r="L5430" s="1" t="s">
        <v>5541</v>
      </c>
      <c r="N5430" s="1" t="s">
        <v>5548</v>
      </c>
      <c r="P5430" s="1" t="s">
        <v>5549</v>
      </c>
      <c r="Q5430" s="3">
        <v>1</v>
      </c>
      <c r="S5430" s="23" t="s">
        <v>5949</v>
      </c>
      <c r="W5430" s="45" t="str">
        <f>HYPERLINK("http://ictvonline.org/taxonomy/p/taxonomy-history?taxnode_id=201855951","ICTVonline=201855951")</f>
        <v>ICTVonline=201855951</v>
      </c>
      <c r="AA5430" s="1">
        <v>201850000</v>
      </c>
      <c r="AB5430" s="1">
        <v>34</v>
      </c>
    </row>
    <row r="5431" spans="1:28" x14ac:dyDescent="0.15">
      <c r="A5431" s="1">
        <v>13494</v>
      </c>
      <c r="L5431" s="1" t="s">
        <v>5541</v>
      </c>
      <c r="N5431" s="1" t="s">
        <v>5550</v>
      </c>
      <c r="P5431" s="1" t="s">
        <v>5551</v>
      </c>
      <c r="Q5431" s="3">
        <v>0</v>
      </c>
      <c r="S5431" s="23" t="s">
        <v>5949</v>
      </c>
      <c r="W5431" s="45" t="str">
        <f>HYPERLINK("http://ictvonline.org/taxonomy/p/taxonomy-history?taxnode_id=201855953","ICTVonline=201855953")</f>
        <v>ICTVonline=201855953</v>
      </c>
      <c r="AA5431" s="1">
        <v>201850000</v>
      </c>
      <c r="AB5431" s="1">
        <v>34</v>
      </c>
    </row>
    <row r="5432" spans="1:28" x14ac:dyDescent="0.15">
      <c r="A5432" s="1">
        <v>13496</v>
      </c>
      <c r="L5432" s="1" t="s">
        <v>5541</v>
      </c>
      <c r="N5432" s="1" t="s">
        <v>5550</v>
      </c>
      <c r="P5432" s="1" t="s">
        <v>5552</v>
      </c>
      <c r="Q5432" s="3">
        <v>1</v>
      </c>
      <c r="S5432" s="23" t="s">
        <v>5949</v>
      </c>
      <c r="W5432" s="45" t="str">
        <f>HYPERLINK("http://ictvonline.org/taxonomy/p/taxonomy-history?taxnode_id=201855954","ICTVonline=201855954")</f>
        <v>ICTVonline=201855954</v>
      </c>
      <c r="AA5432" s="1">
        <v>201850000</v>
      </c>
      <c r="AB5432" s="1">
        <v>34</v>
      </c>
    </row>
    <row r="5433" spans="1:28" x14ac:dyDescent="0.15">
      <c r="A5433" s="1">
        <v>13498</v>
      </c>
      <c r="L5433" s="1" t="s">
        <v>5541</v>
      </c>
      <c r="N5433" s="1" t="s">
        <v>5550</v>
      </c>
      <c r="P5433" s="1" t="s">
        <v>5553</v>
      </c>
      <c r="Q5433" s="3">
        <v>0</v>
      </c>
      <c r="S5433" s="23" t="s">
        <v>5949</v>
      </c>
      <c r="W5433" s="45" t="str">
        <f>HYPERLINK("http://ictvonline.org/taxonomy/p/taxonomy-history?taxnode_id=201855955","ICTVonline=201855955")</f>
        <v>ICTVonline=201855955</v>
      </c>
      <c r="AA5433" s="1">
        <v>201850000</v>
      </c>
      <c r="AB5433" s="1">
        <v>34</v>
      </c>
    </row>
    <row r="5434" spans="1:28" x14ac:dyDescent="0.15">
      <c r="A5434" s="1">
        <v>13502</v>
      </c>
      <c r="L5434" s="1" t="s">
        <v>5541</v>
      </c>
      <c r="N5434" s="1" t="s">
        <v>5554</v>
      </c>
      <c r="P5434" s="1" t="s">
        <v>5555</v>
      </c>
      <c r="Q5434" s="3">
        <v>0</v>
      </c>
      <c r="S5434" s="23" t="s">
        <v>5949</v>
      </c>
      <c r="W5434" s="45" t="str">
        <f>HYPERLINK("http://ictvonline.org/taxonomy/p/taxonomy-history?taxnode_id=201855957","ICTVonline=201855957")</f>
        <v>ICTVonline=201855957</v>
      </c>
      <c r="AA5434" s="1">
        <v>201850000</v>
      </c>
      <c r="AB5434" s="1">
        <v>34</v>
      </c>
    </row>
    <row r="5435" spans="1:28" x14ac:dyDescent="0.15">
      <c r="A5435" s="1">
        <v>13504</v>
      </c>
      <c r="L5435" s="1" t="s">
        <v>5541</v>
      </c>
      <c r="N5435" s="1" t="s">
        <v>5554</v>
      </c>
      <c r="P5435" s="1" t="s">
        <v>5556</v>
      </c>
      <c r="Q5435" s="3">
        <v>0</v>
      </c>
      <c r="S5435" s="23" t="s">
        <v>5949</v>
      </c>
      <c r="W5435" s="45" t="str">
        <f>HYPERLINK("http://ictvonline.org/taxonomy/p/taxonomy-history?taxnode_id=201855958","ICTVonline=201855958")</f>
        <v>ICTVonline=201855958</v>
      </c>
      <c r="AA5435" s="1">
        <v>201850000</v>
      </c>
      <c r="AB5435" s="1">
        <v>34</v>
      </c>
    </row>
    <row r="5436" spans="1:28" x14ac:dyDescent="0.15">
      <c r="A5436" s="1">
        <v>13506</v>
      </c>
      <c r="L5436" s="1" t="s">
        <v>5541</v>
      </c>
      <c r="N5436" s="1" t="s">
        <v>5554</v>
      </c>
      <c r="P5436" s="1" t="s">
        <v>5557</v>
      </c>
      <c r="Q5436" s="3">
        <v>0</v>
      </c>
      <c r="S5436" s="23" t="s">
        <v>5949</v>
      </c>
      <c r="W5436" s="45" t="str">
        <f>HYPERLINK("http://ictvonline.org/taxonomy/p/taxonomy-history?taxnode_id=201855959","ICTVonline=201855959")</f>
        <v>ICTVonline=201855959</v>
      </c>
      <c r="AA5436" s="1">
        <v>201850000</v>
      </c>
      <c r="AB5436" s="1">
        <v>34</v>
      </c>
    </row>
    <row r="5437" spans="1:28" x14ac:dyDescent="0.15">
      <c r="A5437" s="1">
        <v>13508</v>
      </c>
      <c r="L5437" s="1" t="s">
        <v>5541</v>
      </c>
      <c r="N5437" s="1" t="s">
        <v>5554</v>
      </c>
      <c r="P5437" s="1" t="s">
        <v>5558</v>
      </c>
      <c r="Q5437" s="3">
        <v>0</v>
      </c>
      <c r="S5437" s="23" t="s">
        <v>5949</v>
      </c>
      <c r="W5437" s="45" t="str">
        <f>HYPERLINK("http://ictvonline.org/taxonomy/p/taxonomy-history?taxnode_id=201855960","ICTVonline=201855960")</f>
        <v>ICTVonline=201855960</v>
      </c>
      <c r="AA5437" s="1">
        <v>201850000</v>
      </c>
      <c r="AB5437" s="1">
        <v>34</v>
      </c>
    </row>
    <row r="5438" spans="1:28" x14ac:dyDescent="0.15">
      <c r="A5438" s="1">
        <v>13510</v>
      </c>
      <c r="L5438" s="1" t="s">
        <v>5541</v>
      </c>
      <c r="N5438" s="1" t="s">
        <v>5554</v>
      </c>
      <c r="P5438" s="1" t="s">
        <v>5559</v>
      </c>
      <c r="Q5438" s="3">
        <v>1</v>
      </c>
      <c r="S5438" s="23" t="s">
        <v>5949</v>
      </c>
      <c r="W5438" s="45" t="str">
        <f>HYPERLINK("http://ictvonline.org/taxonomy/p/taxonomy-history?taxnode_id=201855961","ICTVonline=201855961")</f>
        <v>ICTVonline=201855961</v>
      </c>
      <c r="AA5438" s="1">
        <v>201850000</v>
      </c>
      <c r="AB5438" s="1">
        <v>34</v>
      </c>
    </row>
    <row r="5439" spans="1:28" x14ac:dyDescent="0.15">
      <c r="A5439" s="1">
        <v>13512</v>
      </c>
      <c r="L5439" s="1" t="s">
        <v>5541</v>
      </c>
      <c r="N5439" s="1" t="s">
        <v>5554</v>
      </c>
      <c r="P5439" s="1" t="s">
        <v>5560</v>
      </c>
      <c r="Q5439" s="3">
        <v>0</v>
      </c>
      <c r="S5439" s="23" t="s">
        <v>5949</v>
      </c>
      <c r="W5439" s="45" t="str">
        <f>HYPERLINK("http://ictvonline.org/taxonomy/p/taxonomy-history?taxnode_id=201855962","ICTVonline=201855962")</f>
        <v>ICTVonline=201855962</v>
      </c>
      <c r="AA5439" s="1">
        <v>201850000</v>
      </c>
      <c r="AB5439" s="1">
        <v>34</v>
      </c>
    </row>
    <row r="5440" spans="1:28" x14ac:dyDescent="0.15">
      <c r="A5440" s="1">
        <v>13514</v>
      </c>
      <c r="L5440" s="1" t="s">
        <v>5541</v>
      </c>
      <c r="N5440" s="1" t="s">
        <v>5554</v>
      </c>
      <c r="P5440" s="1" t="s">
        <v>5561</v>
      </c>
      <c r="Q5440" s="3">
        <v>0</v>
      </c>
      <c r="S5440" s="23" t="s">
        <v>5949</v>
      </c>
      <c r="W5440" s="45" t="str">
        <f>HYPERLINK("http://ictvonline.org/taxonomy/p/taxonomy-history?taxnode_id=201855963","ICTVonline=201855963")</f>
        <v>ICTVonline=201855963</v>
      </c>
      <c r="AA5440" s="1">
        <v>201850000</v>
      </c>
      <c r="AB5440" s="1">
        <v>34</v>
      </c>
    </row>
    <row r="5441" spans="1:28" x14ac:dyDescent="0.15">
      <c r="A5441" s="1">
        <v>13518</v>
      </c>
      <c r="L5441" s="1" t="s">
        <v>5541</v>
      </c>
      <c r="N5441" s="1" t="s">
        <v>5562</v>
      </c>
      <c r="P5441" s="1" t="s">
        <v>5563</v>
      </c>
      <c r="Q5441" s="3">
        <v>0</v>
      </c>
      <c r="S5441" s="23" t="s">
        <v>5949</v>
      </c>
      <c r="W5441" s="45" t="str">
        <f>HYPERLINK("http://ictvonline.org/taxonomy/p/taxonomy-history?taxnode_id=201855965","ICTVonline=201855965")</f>
        <v>ICTVonline=201855965</v>
      </c>
      <c r="AA5441" s="1">
        <v>201850000</v>
      </c>
      <c r="AB5441" s="1">
        <v>34</v>
      </c>
    </row>
    <row r="5442" spans="1:28" x14ac:dyDescent="0.15">
      <c r="A5442" s="1">
        <v>13520</v>
      </c>
      <c r="L5442" s="1" t="s">
        <v>5541</v>
      </c>
      <c r="N5442" s="1" t="s">
        <v>5562</v>
      </c>
      <c r="P5442" s="1" t="s">
        <v>5564</v>
      </c>
      <c r="Q5442" s="3">
        <v>0</v>
      </c>
      <c r="S5442" s="23" t="s">
        <v>5949</v>
      </c>
      <c r="W5442" s="45" t="str">
        <f>HYPERLINK("http://ictvonline.org/taxonomy/p/taxonomy-history?taxnode_id=201855966","ICTVonline=201855966")</f>
        <v>ICTVonline=201855966</v>
      </c>
      <c r="AA5442" s="1">
        <v>201850000</v>
      </c>
      <c r="AB5442" s="1">
        <v>34</v>
      </c>
    </row>
    <row r="5443" spans="1:28" x14ac:dyDescent="0.15">
      <c r="A5443" s="1">
        <v>13522</v>
      </c>
      <c r="L5443" s="1" t="s">
        <v>5541</v>
      </c>
      <c r="N5443" s="1" t="s">
        <v>5562</v>
      </c>
      <c r="P5443" s="1" t="s">
        <v>5565</v>
      </c>
      <c r="Q5443" s="3">
        <v>0</v>
      </c>
      <c r="S5443" s="23" t="s">
        <v>5949</v>
      </c>
      <c r="W5443" s="45" t="str">
        <f>HYPERLINK("http://ictvonline.org/taxonomy/p/taxonomy-history?taxnode_id=201855967","ICTVonline=201855967")</f>
        <v>ICTVonline=201855967</v>
      </c>
      <c r="AA5443" s="1">
        <v>201850000</v>
      </c>
      <c r="AB5443" s="1">
        <v>34</v>
      </c>
    </row>
    <row r="5444" spans="1:28" x14ac:dyDescent="0.15">
      <c r="A5444" s="1">
        <v>13524</v>
      </c>
      <c r="L5444" s="1" t="s">
        <v>5541</v>
      </c>
      <c r="N5444" s="1" t="s">
        <v>5562</v>
      </c>
      <c r="P5444" s="1" t="s">
        <v>5566</v>
      </c>
      <c r="Q5444" s="3">
        <v>0</v>
      </c>
      <c r="S5444" s="23" t="s">
        <v>5949</v>
      </c>
      <c r="W5444" s="45" t="str">
        <f>HYPERLINK("http://ictvonline.org/taxonomy/p/taxonomy-history?taxnode_id=201855968","ICTVonline=201855968")</f>
        <v>ICTVonline=201855968</v>
      </c>
      <c r="AA5444" s="1">
        <v>201850000</v>
      </c>
      <c r="AB5444" s="1">
        <v>34</v>
      </c>
    </row>
    <row r="5445" spans="1:28" x14ac:dyDescent="0.15">
      <c r="A5445" s="1">
        <v>13526</v>
      </c>
      <c r="L5445" s="1" t="s">
        <v>5541</v>
      </c>
      <c r="N5445" s="1" t="s">
        <v>5562</v>
      </c>
      <c r="P5445" s="1" t="s">
        <v>5567</v>
      </c>
      <c r="Q5445" s="3">
        <v>0</v>
      </c>
      <c r="S5445" s="23" t="s">
        <v>5949</v>
      </c>
      <c r="W5445" s="45" t="str">
        <f>HYPERLINK("http://ictvonline.org/taxonomy/p/taxonomy-history?taxnode_id=201855969","ICTVonline=201855969")</f>
        <v>ICTVonline=201855969</v>
      </c>
      <c r="AA5445" s="1">
        <v>201850000</v>
      </c>
      <c r="AB5445" s="1">
        <v>34</v>
      </c>
    </row>
    <row r="5446" spans="1:28" x14ac:dyDescent="0.15">
      <c r="A5446" s="1">
        <v>13528</v>
      </c>
      <c r="L5446" s="1" t="s">
        <v>5541</v>
      </c>
      <c r="N5446" s="1" t="s">
        <v>5562</v>
      </c>
      <c r="P5446" s="1" t="s">
        <v>5568</v>
      </c>
      <c r="Q5446" s="3">
        <v>1</v>
      </c>
      <c r="S5446" s="23" t="s">
        <v>5949</v>
      </c>
      <c r="W5446" s="45" t="str">
        <f>HYPERLINK("http://ictvonline.org/taxonomy/p/taxonomy-history?taxnode_id=201855970","ICTVonline=201855970")</f>
        <v>ICTVonline=201855970</v>
      </c>
      <c r="AA5446" s="1">
        <v>201850000</v>
      </c>
      <c r="AB5446" s="1">
        <v>34</v>
      </c>
    </row>
    <row r="5447" spans="1:28" x14ac:dyDescent="0.15">
      <c r="A5447" s="1">
        <v>13530</v>
      </c>
      <c r="L5447" s="1" t="s">
        <v>5541</v>
      </c>
      <c r="N5447" s="1" t="s">
        <v>5562</v>
      </c>
      <c r="P5447" s="1" t="s">
        <v>5569</v>
      </c>
      <c r="Q5447" s="3">
        <v>0</v>
      </c>
      <c r="S5447" s="23" t="s">
        <v>5949</v>
      </c>
      <c r="W5447" s="45" t="str">
        <f>HYPERLINK("http://ictvonline.org/taxonomy/p/taxonomy-history?taxnode_id=201855971","ICTVonline=201855971")</f>
        <v>ICTVonline=201855971</v>
      </c>
      <c r="AA5447" s="1">
        <v>201850000</v>
      </c>
      <c r="AB5447" s="1">
        <v>34</v>
      </c>
    </row>
    <row r="5448" spans="1:28" x14ac:dyDescent="0.15">
      <c r="A5448" s="1">
        <v>13532</v>
      </c>
      <c r="L5448" s="1" t="s">
        <v>5541</v>
      </c>
      <c r="N5448" s="1" t="s">
        <v>5562</v>
      </c>
      <c r="P5448" s="1" t="s">
        <v>5570</v>
      </c>
      <c r="Q5448" s="3">
        <v>0</v>
      </c>
      <c r="S5448" s="23" t="s">
        <v>5949</v>
      </c>
      <c r="W5448" s="45" t="str">
        <f>HYPERLINK("http://ictvonline.org/taxonomy/p/taxonomy-history?taxnode_id=201855972","ICTVonline=201855972")</f>
        <v>ICTVonline=201855972</v>
      </c>
      <c r="AA5448" s="1">
        <v>201850000</v>
      </c>
      <c r="AB5448" s="1">
        <v>34</v>
      </c>
    </row>
    <row r="5449" spans="1:28" x14ac:dyDescent="0.15">
      <c r="A5449" s="1">
        <v>13534</v>
      </c>
      <c r="L5449" s="1" t="s">
        <v>5541</v>
      </c>
      <c r="N5449" s="1" t="s">
        <v>5562</v>
      </c>
      <c r="P5449" s="1" t="s">
        <v>5571</v>
      </c>
      <c r="Q5449" s="3">
        <v>0</v>
      </c>
      <c r="S5449" s="23" t="s">
        <v>5949</v>
      </c>
      <c r="W5449" s="45" t="str">
        <f>HYPERLINK("http://ictvonline.org/taxonomy/p/taxonomy-history?taxnode_id=201855973","ICTVonline=201855973")</f>
        <v>ICTVonline=201855973</v>
      </c>
      <c r="AA5449" s="1">
        <v>201850000</v>
      </c>
      <c r="AB5449" s="1">
        <v>34</v>
      </c>
    </row>
    <row r="5450" spans="1:28" x14ac:dyDescent="0.15">
      <c r="A5450" s="1">
        <v>13536</v>
      </c>
      <c r="L5450" s="1" t="s">
        <v>5541</v>
      </c>
      <c r="N5450" s="1" t="s">
        <v>5562</v>
      </c>
      <c r="P5450" s="1" t="s">
        <v>5572</v>
      </c>
      <c r="Q5450" s="3">
        <v>0</v>
      </c>
      <c r="S5450" s="23" t="s">
        <v>5949</v>
      </c>
      <c r="W5450" s="45" t="str">
        <f>HYPERLINK("http://ictvonline.org/taxonomy/p/taxonomy-history?taxnode_id=201855974","ICTVonline=201855974")</f>
        <v>ICTVonline=201855974</v>
      </c>
      <c r="AA5450" s="1">
        <v>201850000</v>
      </c>
      <c r="AB5450" s="1">
        <v>34</v>
      </c>
    </row>
    <row r="5451" spans="1:28" x14ac:dyDescent="0.15">
      <c r="A5451" s="1">
        <v>13538</v>
      </c>
      <c r="L5451" s="1" t="s">
        <v>5541</v>
      </c>
      <c r="N5451" s="1" t="s">
        <v>5562</v>
      </c>
      <c r="P5451" s="1" t="s">
        <v>5573</v>
      </c>
      <c r="Q5451" s="3">
        <v>0</v>
      </c>
      <c r="S5451" s="23" t="s">
        <v>5949</v>
      </c>
      <c r="W5451" s="45" t="str">
        <f>HYPERLINK("http://ictvonline.org/taxonomy/p/taxonomy-history?taxnode_id=201855975","ICTVonline=201855975")</f>
        <v>ICTVonline=201855975</v>
      </c>
      <c r="AA5451" s="1">
        <v>201850000</v>
      </c>
      <c r="AB5451" s="1">
        <v>34</v>
      </c>
    </row>
    <row r="5452" spans="1:28" x14ac:dyDescent="0.15">
      <c r="A5452" s="1">
        <v>13540</v>
      </c>
      <c r="L5452" s="1" t="s">
        <v>5541</v>
      </c>
      <c r="N5452" s="1" t="s">
        <v>5562</v>
      </c>
      <c r="P5452" s="1" t="s">
        <v>5574</v>
      </c>
      <c r="Q5452" s="3">
        <v>0</v>
      </c>
      <c r="S5452" s="23" t="s">
        <v>5949</v>
      </c>
      <c r="W5452" s="45" t="str">
        <f>HYPERLINK("http://ictvonline.org/taxonomy/p/taxonomy-history?taxnode_id=201855976","ICTVonline=201855976")</f>
        <v>ICTVonline=201855976</v>
      </c>
      <c r="AA5452" s="1">
        <v>201850000</v>
      </c>
      <c r="AB5452" s="1">
        <v>34</v>
      </c>
    </row>
    <row r="5453" spans="1:28" x14ac:dyDescent="0.15">
      <c r="A5453" s="1">
        <v>13542</v>
      </c>
      <c r="L5453" s="1" t="s">
        <v>5541</v>
      </c>
      <c r="N5453" s="1" t="s">
        <v>5562</v>
      </c>
      <c r="P5453" s="1" t="s">
        <v>5575</v>
      </c>
      <c r="Q5453" s="3">
        <v>0</v>
      </c>
      <c r="S5453" s="23" t="s">
        <v>5949</v>
      </c>
      <c r="W5453" s="45" t="str">
        <f>HYPERLINK("http://ictvonline.org/taxonomy/p/taxonomy-history?taxnode_id=201855977","ICTVonline=201855977")</f>
        <v>ICTVonline=201855977</v>
      </c>
      <c r="AA5453" s="1">
        <v>201850000</v>
      </c>
      <c r="AB5453" s="1">
        <v>34</v>
      </c>
    </row>
    <row r="5454" spans="1:28" x14ac:dyDescent="0.15">
      <c r="A5454" s="1">
        <v>13544</v>
      </c>
      <c r="L5454" s="1" t="s">
        <v>5541</v>
      </c>
      <c r="N5454" s="1" t="s">
        <v>5562</v>
      </c>
      <c r="P5454" s="1" t="s">
        <v>5576</v>
      </c>
      <c r="Q5454" s="3">
        <v>0</v>
      </c>
      <c r="S5454" s="23" t="s">
        <v>5949</v>
      </c>
      <c r="W5454" s="45" t="str">
        <f>HYPERLINK("http://ictvonline.org/taxonomy/p/taxonomy-history?taxnode_id=201855979","ICTVonline=201855979")</f>
        <v>ICTVonline=201855979</v>
      </c>
      <c r="AA5454" s="1">
        <v>201850000</v>
      </c>
      <c r="AB5454" s="1">
        <v>34</v>
      </c>
    </row>
    <row r="5455" spans="1:28" x14ac:dyDescent="0.15">
      <c r="A5455" s="1">
        <v>13546</v>
      </c>
      <c r="L5455" s="1" t="s">
        <v>5541</v>
      </c>
      <c r="N5455" s="1" t="s">
        <v>5562</v>
      </c>
      <c r="P5455" s="1" t="s">
        <v>5577</v>
      </c>
      <c r="Q5455" s="3">
        <v>0</v>
      </c>
      <c r="S5455" s="23" t="s">
        <v>5949</v>
      </c>
      <c r="W5455" s="45" t="str">
        <f>HYPERLINK("http://ictvonline.org/taxonomy/p/taxonomy-history?taxnode_id=201855980","ICTVonline=201855980")</f>
        <v>ICTVonline=201855980</v>
      </c>
      <c r="AA5455" s="1">
        <v>201850000</v>
      </c>
      <c r="AB5455" s="1">
        <v>34</v>
      </c>
    </row>
    <row r="5456" spans="1:28" x14ac:dyDescent="0.15">
      <c r="A5456" s="1">
        <v>13548</v>
      </c>
      <c r="L5456" s="1" t="s">
        <v>5541</v>
      </c>
      <c r="N5456" s="1" t="s">
        <v>5562</v>
      </c>
      <c r="P5456" s="1" t="s">
        <v>5578</v>
      </c>
      <c r="Q5456" s="3">
        <v>0</v>
      </c>
      <c r="S5456" s="23" t="s">
        <v>5949</v>
      </c>
      <c r="W5456" s="45" t="str">
        <f>HYPERLINK("http://ictvonline.org/taxonomy/p/taxonomy-history?taxnode_id=201855981","ICTVonline=201855981")</f>
        <v>ICTVonline=201855981</v>
      </c>
      <c r="AA5456" s="1">
        <v>201850000</v>
      </c>
      <c r="AB5456" s="1">
        <v>34</v>
      </c>
    </row>
    <row r="5457" spans="1:28" x14ac:dyDescent="0.15">
      <c r="A5457" s="1">
        <v>13550</v>
      </c>
      <c r="L5457" s="1" t="s">
        <v>5541</v>
      </c>
      <c r="N5457" s="1" t="s">
        <v>5562</v>
      </c>
      <c r="P5457" s="1" t="s">
        <v>5579</v>
      </c>
      <c r="Q5457" s="3">
        <v>0</v>
      </c>
      <c r="S5457" s="23" t="s">
        <v>5949</v>
      </c>
      <c r="W5457" s="45" t="str">
        <f>HYPERLINK("http://ictvonline.org/taxonomy/p/taxonomy-history?taxnode_id=201855982","ICTVonline=201855982")</f>
        <v>ICTVonline=201855982</v>
      </c>
      <c r="AA5457" s="1">
        <v>201850000</v>
      </c>
      <c r="AB5457" s="1">
        <v>34</v>
      </c>
    </row>
    <row r="5458" spans="1:28" x14ac:dyDescent="0.15">
      <c r="A5458" s="1">
        <v>13552</v>
      </c>
      <c r="L5458" s="1" t="s">
        <v>5541</v>
      </c>
      <c r="N5458" s="1" t="s">
        <v>5562</v>
      </c>
      <c r="P5458" s="1" t="s">
        <v>5580</v>
      </c>
      <c r="Q5458" s="3">
        <v>0</v>
      </c>
      <c r="S5458" s="23" t="s">
        <v>5949</v>
      </c>
      <c r="W5458" s="45" t="str">
        <f>HYPERLINK("http://ictvonline.org/taxonomy/p/taxonomy-history?taxnode_id=201855983","ICTVonline=201855983")</f>
        <v>ICTVonline=201855983</v>
      </c>
      <c r="AA5458" s="1">
        <v>201850000</v>
      </c>
      <c r="AB5458" s="1">
        <v>34</v>
      </c>
    </row>
    <row r="5459" spans="1:28" x14ac:dyDescent="0.15">
      <c r="A5459" s="1">
        <v>13554</v>
      </c>
      <c r="L5459" s="1" t="s">
        <v>5541</v>
      </c>
      <c r="N5459" s="1" t="s">
        <v>5562</v>
      </c>
      <c r="P5459" s="1" t="s">
        <v>5581</v>
      </c>
      <c r="Q5459" s="3">
        <v>0</v>
      </c>
      <c r="S5459" s="23" t="s">
        <v>5949</v>
      </c>
      <c r="W5459" s="45" t="str">
        <f>HYPERLINK("http://ictvonline.org/taxonomy/p/taxonomy-history?taxnode_id=201855984","ICTVonline=201855984")</f>
        <v>ICTVonline=201855984</v>
      </c>
      <c r="AA5459" s="1">
        <v>201850000</v>
      </c>
      <c r="AB5459" s="1">
        <v>34</v>
      </c>
    </row>
    <row r="5460" spans="1:28" x14ac:dyDescent="0.15">
      <c r="A5460" s="1">
        <v>13556</v>
      </c>
      <c r="L5460" s="1" t="s">
        <v>5541</v>
      </c>
      <c r="N5460" s="1" t="s">
        <v>5562</v>
      </c>
      <c r="P5460" s="1" t="s">
        <v>5582</v>
      </c>
      <c r="Q5460" s="3">
        <v>0</v>
      </c>
      <c r="S5460" s="23" t="s">
        <v>5949</v>
      </c>
      <c r="W5460" s="45" t="str">
        <f>HYPERLINK("http://ictvonline.org/taxonomy/p/taxonomy-history?taxnode_id=201855985","ICTVonline=201855985")</f>
        <v>ICTVonline=201855985</v>
      </c>
      <c r="AA5460" s="1">
        <v>201850000</v>
      </c>
      <c r="AB5460" s="1">
        <v>34</v>
      </c>
    </row>
    <row r="5461" spans="1:28" x14ac:dyDescent="0.15">
      <c r="A5461" s="1">
        <v>13558</v>
      </c>
      <c r="L5461" s="1" t="s">
        <v>5541</v>
      </c>
      <c r="N5461" s="1" t="s">
        <v>5562</v>
      </c>
      <c r="P5461" s="1" t="s">
        <v>5583</v>
      </c>
      <c r="Q5461" s="3">
        <v>0</v>
      </c>
      <c r="S5461" s="23" t="s">
        <v>5949</v>
      </c>
      <c r="W5461" s="45" t="str">
        <f>HYPERLINK("http://ictvonline.org/taxonomy/p/taxonomy-history?taxnode_id=201855986","ICTVonline=201855986")</f>
        <v>ICTVonline=201855986</v>
      </c>
      <c r="AA5461" s="1">
        <v>201850000</v>
      </c>
      <c r="AB5461" s="1">
        <v>34</v>
      </c>
    </row>
    <row r="5462" spans="1:28" x14ac:dyDescent="0.15">
      <c r="A5462" s="1">
        <v>13560</v>
      </c>
      <c r="L5462" s="1" t="s">
        <v>5541</v>
      </c>
      <c r="N5462" s="1" t="s">
        <v>5562</v>
      </c>
      <c r="P5462" s="1" t="s">
        <v>5584</v>
      </c>
      <c r="Q5462" s="3">
        <v>0</v>
      </c>
      <c r="S5462" s="23" t="s">
        <v>5949</v>
      </c>
      <c r="W5462" s="45" t="str">
        <f>HYPERLINK("http://ictvonline.org/taxonomy/p/taxonomy-history?taxnode_id=201855978","ICTVonline=201855978")</f>
        <v>ICTVonline=201855978</v>
      </c>
      <c r="AA5462" s="1">
        <v>201850000</v>
      </c>
      <c r="AB5462" s="1">
        <v>34</v>
      </c>
    </row>
    <row r="5463" spans="1:28" x14ac:dyDescent="0.15">
      <c r="A5463" s="1">
        <v>13562</v>
      </c>
      <c r="L5463" s="1" t="s">
        <v>5541</v>
      </c>
      <c r="N5463" s="1" t="s">
        <v>5562</v>
      </c>
      <c r="P5463" s="1" t="s">
        <v>5585</v>
      </c>
      <c r="Q5463" s="3">
        <v>0</v>
      </c>
      <c r="S5463" s="23" t="s">
        <v>5949</v>
      </c>
      <c r="W5463" s="45" t="str">
        <f>HYPERLINK("http://ictvonline.org/taxonomy/p/taxonomy-history?taxnode_id=201855987","ICTVonline=201855987")</f>
        <v>ICTVonline=201855987</v>
      </c>
      <c r="AA5463" s="1">
        <v>201850000</v>
      </c>
      <c r="AB5463" s="1">
        <v>34</v>
      </c>
    </row>
    <row r="5464" spans="1:28" x14ac:dyDescent="0.15">
      <c r="A5464" s="1">
        <v>13564</v>
      </c>
      <c r="L5464" s="1" t="s">
        <v>5541</v>
      </c>
      <c r="N5464" s="1" t="s">
        <v>5562</v>
      </c>
      <c r="P5464" s="1" t="s">
        <v>5586</v>
      </c>
      <c r="Q5464" s="3">
        <v>0</v>
      </c>
      <c r="S5464" s="23" t="s">
        <v>5949</v>
      </c>
      <c r="W5464" s="45" t="str">
        <f>HYPERLINK("http://ictvonline.org/taxonomy/p/taxonomy-history?taxnode_id=201855988","ICTVonline=201855988")</f>
        <v>ICTVonline=201855988</v>
      </c>
      <c r="AA5464" s="1">
        <v>201850000</v>
      </c>
      <c r="AB5464" s="1">
        <v>34</v>
      </c>
    </row>
    <row r="5465" spans="1:28" x14ac:dyDescent="0.15">
      <c r="A5465" s="1">
        <v>13566</v>
      </c>
      <c r="L5465" s="1" t="s">
        <v>5541</v>
      </c>
      <c r="N5465" s="1" t="s">
        <v>5562</v>
      </c>
      <c r="P5465" s="1" t="s">
        <v>5587</v>
      </c>
      <c r="Q5465" s="3">
        <v>0</v>
      </c>
      <c r="S5465" s="23" t="s">
        <v>5949</v>
      </c>
      <c r="W5465" s="45" t="str">
        <f>HYPERLINK("http://ictvonline.org/taxonomy/p/taxonomy-history?taxnode_id=201855989","ICTVonline=201855989")</f>
        <v>ICTVonline=201855989</v>
      </c>
      <c r="AA5465" s="1">
        <v>201850000</v>
      </c>
      <c r="AB5465" s="1">
        <v>34</v>
      </c>
    </row>
    <row r="5466" spans="1:28" x14ac:dyDescent="0.15">
      <c r="A5466" s="1">
        <v>13568</v>
      </c>
      <c r="L5466" s="1" t="s">
        <v>5541</v>
      </c>
      <c r="N5466" s="1" t="s">
        <v>5562</v>
      </c>
      <c r="P5466" s="1" t="s">
        <v>5588</v>
      </c>
      <c r="Q5466" s="3">
        <v>0</v>
      </c>
      <c r="S5466" s="23" t="s">
        <v>5949</v>
      </c>
      <c r="W5466" s="45" t="str">
        <f>HYPERLINK("http://ictvonline.org/taxonomy/p/taxonomy-history?taxnode_id=201855990","ICTVonline=201855990")</f>
        <v>ICTVonline=201855990</v>
      </c>
      <c r="AA5466" s="1">
        <v>201850000</v>
      </c>
      <c r="AB5466" s="1">
        <v>34</v>
      </c>
    </row>
    <row r="5467" spans="1:28" x14ac:dyDescent="0.15">
      <c r="A5467" s="1">
        <v>13570</v>
      </c>
      <c r="L5467" s="1" t="s">
        <v>5541</v>
      </c>
      <c r="N5467" s="1" t="s">
        <v>5562</v>
      </c>
      <c r="P5467" s="1" t="s">
        <v>5589</v>
      </c>
      <c r="Q5467" s="3">
        <v>0</v>
      </c>
      <c r="S5467" s="23" t="s">
        <v>5949</v>
      </c>
      <c r="W5467" s="45" t="str">
        <f>HYPERLINK("http://ictvonline.org/taxonomy/p/taxonomy-history?taxnode_id=201855991","ICTVonline=201855991")</f>
        <v>ICTVonline=201855991</v>
      </c>
      <c r="AA5467" s="1">
        <v>201850000</v>
      </c>
      <c r="AB5467" s="1">
        <v>34</v>
      </c>
    </row>
    <row r="5468" spans="1:28" x14ac:dyDescent="0.15">
      <c r="A5468" s="1">
        <v>13576</v>
      </c>
      <c r="L5468" s="1" t="s">
        <v>2731</v>
      </c>
      <c r="N5468" s="1" t="s">
        <v>2732</v>
      </c>
      <c r="P5468" s="1" t="s">
        <v>2733</v>
      </c>
      <c r="Q5468" s="3">
        <v>0</v>
      </c>
      <c r="S5468" s="23" t="s">
        <v>5949</v>
      </c>
      <c r="W5468" s="45" t="str">
        <f>HYPERLINK("http://ictvonline.org/taxonomy/p/taxonomy-history?taxnode_id=201855057","ICTVonline=201855057")</f>
        <v>ICTVonline=201855057</v>
      </c>
      <c r="AA5468" s="1">
        <v>201850000</v>
      </c>
      <c r="AB5468" s="1">
        <v>34</v>
      </c>
    </row>
    <row r="5469" spans="1:28" x14ac:dyDescent="0.15">
      <c r="A5469" s="1">
        <v>13578</v>
      </c>
      <c r="L5469" s="1" t="s">
        <v>2731</v>
      </c>
      <c r="N5469" s="1" t="s">
        <v>2732</v>
      </c>
      <c r="P5469" s="1" t="s">
        <v>2744</v>
      </c>
      <c r="Q5469" s="3">
        <v>0</v>
      </c>
      <c r="S5469" s="23" t="s">
        <v>5949</v>
      </c>
      <c r="W5469" s="45" t="str">
        <f>HYPERLINK("http://ictvonline.org/taxonomy/p/taxonomy-history?taxnode_id=201855058","ICTVonline=201855058")</f>
        <v>ICTVonline=201855058</v>
      </c>
      <c r="AA5469" s="1">
        <v>201850000</v>
      </c>
      <c r="AB5469" s="1">
        <v>34</v>
      </c>
    </row>
    <row r="5470" spans="1:28" x14ac:dyDescent="0.15">
      <c r="A5470" s="1">
        <v>13580</v>
      </c>
      <c r="L5470" s="1" t="s">
        <v>2731</v>
      </c>
      <c r="N5470" s="1" t="s">
        <v>2732</v>
      </c>
      <c r="P5470" s="1" t="s">
        <v>2745</v>
      </c>
      <c r="Q5470" s="3">
        <v>1</v>
      </c>
      <c r="S5470" s="23" t="s">
        <v>5949</v>
      </c>
      <c r="W5470" s="45" t="str">
        <f>HYPERLINK("http://ictvonline.org/taxonomy/p/taxonomy-history?taxnode_id=201855059","ICTVonline=201855059")</f>
        <v>ICTVonline=201855059</v>
      </c>
      <c r="AA5470" s="1">
        <v>201850000</v>
      </c>
      <c r="AB5470" s="1">
        <v>34</v>
      </c>
    </row>
    <row r="5471" spans="1:28" x14ac:dyDescent="0.15">
      <c r="A5471" s="1">
        <v>13582</v>
      </c>
      <c r="L5471" s="1" t="s">
        <v>2731</v>
      </c>
      <c r="N5471" s="1" t="s">
        <v>2732</v>
      </c>
      <c r="P5471" s="1" t="s">
        <v>4842</v>
      </c>
      <c r="Q5471" s="3">
        <v>0</v>
      </c>
      <c r="S5471" s="23" t="s">
        <v>5949</v>
      </c>
      <c r="W5471" s="45" t="str">
        <f>HYPERLINK("http://ictvonline.org/taxonomy/p/taxonomy-history?taxnode_id=201855060","ICTVonline=201855060")</f>
        <v>ICTVonline=201855060</v>
      </c>
      <c r="AA5471" s="1">
        <v>201850000</v>
      </c>
      <c r="AB5471" s="1">
        <v>34</v>
      </c>
    </row>
    <row r="5472" spans="1:28" x14ac:dyDescent="0.15">
      <c r="A5472" s="1">
        <v>13586</v>
      </c>
      <c r="L5472" s="1" t="s">
        <v>2731</v>
      </c>
      <c r="N5472" s="1" t="s">
        <v>2734</v>
      </c>
      <c r="P5472" s="1" t="s">
        <v>2746</v>
      </c>
      <c r="Q5472" s="3">
        <v>1</v>
      </c>
      <c r="S5472" s="23" t="s">
        <v>5949</v>
      </c>
      <c r="W5472" s="45" t="str">
        <f>HYPERLINK("http://ictvonline.org/taxonomy/p/taxonomy-history?taxnode_id=201855062","ICTVonline=201855062")</f>
        <v>ICTVonline=201855062</v>
      </c>
      <c r="AA5472" s="1">
        <v>201850000</v>
      </c>
      <c r="AB5472" s="1">
        <v>34</v>
      </c>
    </row>
    <row r="5473" spans="1:28" x14ac:dyDescent="0.15">
      <c r="A5473" s="1">
        <v>13590</v>
      </c>
      <c r="L5473" s="1" t="s">
        <v>2731</v>
      </c>
      <c r="N5473" s="1" t="s">
        <v>2735</v>
      </c>
      <c r="P5473" s="1" t="s">
        <v>4011</v>
      </c>
      <c r="Q5473" s="3">
        <v>0</v>
      </c>
      <c r="S5473" s="23" t="s">
        <v>5949</v>
      </c>
      <c r="W5473" s="45" t="str">
        <f>HYPERLINK("http://ictvonline.org/taxonomy/p/taxonomy-history?taxnode_id=201855064","ICTVonline=201855064")</f>
        <v>ICTVonline=201855064</v>
      </c>
      <c r="AA5473" s="1">
        <v>201850000</v>
      </c>
      <c r="AB5473" s="1">
        <v>34</v>
      </c>
    </row>
    <row r="5474" spans="1:28" x14ac:dyDescent="0.15">
      <c r="A5474" s="1">
        <v>13592</v>
      </c>
      <c r="L5474" s="1" t="s">
        <v>2731</v>
      </c>
      <c r="N5474" s="1" t="s">
        <v>2735</v>
      </c>
      <c r="P5474" s="1" t="s">
        <v>4012</v>
      </c>
      <c r="Q5474" s="3">
        <v>1</v>
      </c>
      <c r="S5474" s="23" t="s">
        <v>5949</v>
      </c>
      <c r="W5474" s="45" t="str">
        <f>HYPERLINK("http://ictvonline.org/taxonomy/p/taxonomy-history?taxnode_id=201855065","ICTVonline=201855065")</f>
        <v>ICTVonline=201855065</v>
      </c>
      <c r="AA5474" s="1">
        <v>201850000</v>
      </c>
      <c r="AB5474" s="1">
        <v>34</v>
      </c>
    </row>
    <row r="5475" spans="1:28" x14ac:dyDescent="0.15">
      <c r="A5475" s="1">
        <v>13598</v>
      </c>
      <c r="L5475" s="1" t="s">
        <v>2603</v>
      </c>
      <c r="N5475" s="1" t="s">
        <v>2604</v>
      </c>
      <c r="P5475" s="1" t="s">
        <v>2605</v>
      </c>
      <c r="Q5475" s="3">
        <v>1</v>
      </c>
      <c r="S5475" s="23" t="s">
        <v>5949</v>
      </c>
      <c r="W5475" s="45" t="str">
        <f>HYPERLINK("http://ictvonline.org/taxonomy/p/taxonomy-history?taxnode_id=201855069","ICTVonline=201855069")</f>
        <v>ICTVonline=201855069</v>
      </c>
      <c r="AA5475" s="1">
        <v>201850000</v>
      </c>
      <c r="AB5475" s="1">
        <v>34</v>
      </c>
    </row>
    <row r="5476" spans="1:28" x14ac:dyDescent="0.15">
      <c r="A5476" s="1">
        <v>13604</v>
      </c>
      <c r="L5476" s="1" t="s">
        <v>1587</v>
      </c>
      <c r="N5476" s="1" t="s">
        <v>5591</v>
      </c>
      <c r="P5476" s="1" t="s">
        <v>5592</v>
      </c>
      <c r="Q5476" s="3">
        <v>0</v>
      </c>
      <c r="S5476" s="23" t="s">
        <v>5949</v>
      </c>
      <c r="W5476" s="45" t="str">
        <f>HYPERLINK("http://ictvonline.org/taxonomy/p/taxonomy-history?taxnode_id=201855994","ICTVonline=201855994")</f>
        <v>ICTVonline=201855994</v>
      </c>
      <c r="AA5476" s="1">
        <v>201850000</v>
      </c>
      <c r="AB5476" s="1">
        <v>34</v>
      </c>
    </row>
    <row r="5477" spans="1:28" x14ac:dyDescent="0.15">
      <c r="A5477" s="1">
        <v>13606</v>
      </c>
      <c r="L5477" s="1" t="s">
        <v>1587</v>
      </c>
      <c r="N5477" s="1" t="s">
        <v>5591</v>
      </c>
      <c r="P5477" s="1" t="s">
        <v>5593</v>
      </c>
      <c r="Q5477" s="3">
        <v>1</v>
      </c>
      <c r="S5477" s="23" t="s">
        <v>5949</v>
      </c>
      <c r="W5477" s="45" t="str">
        <f>HYPERLINK("http://ictvonline.org/taxonomy/p/taxonomy-history?taxnode_id=201855076","ICTVonline=201855076")</f>
        <v>ICTVonline=201855076</v>
      </c>
      <c r="AA5477" s="1">
        <v>201850000</v>
      </c>
      <c r="AB5477" s="1">
        <v>34</v>
      </c>
    </row>
    <row r="5478" spans="1:28" x14ac:dyDescent="0.15">
      <c r="A5478" s="1">
        <v>13610</v>
      </c>
      <c r="L5478" s="1" t="s">
        <v>1587</v>
      </c>
      <c r="N5478" s="1" t="s">
        <v>5594</v>
      </c>
      <c r="P5478" s="1" t="s">
        <v>4013</v>
      </c>
      <c r="Q5478" s="3">
        <v>0</v>
      </c>
      <c r="S5478" s="23" t="s">
        <v>5949</v>
      </c>
      <c r="W5478" s="45" t="str">
        <f>HYPERLINK("http://ictvonline.org/taxonomy/p/taxonomy-history?taxnode_id=201855074","ICTVonline=201855074")</f>
        <v>ICTVonline=201855074</v>
      </c>
      <c r="AA5478" s="1">
        <v>201850000</v>
      </c>
      <c r="AB5478" s="1">
        <v>34</v>
      </c>
    </row>
    <row r="5479" spans="1:28" x14ac:dyDescent="0.15">
      <c r="A5479" s="1">
        <v>13612</v>
      </c>
      <c r="L5479" s="1" t="s">
        <v>1587</v>
      </c>
      <c r="N5479" s="1" t="s">
        <v>5594</v>
      </c>
      <c r="P5479" s="1" t="s">
        <v>4014</v>
      </c>
      <c r="Q5479" s="3">
        <v>1</v>
      </c>
      <c r="S5479" s="23" t="s">
        <v>5949</v>
      </c>
      <c r="W5479" s="45" t="str">
        <f>HYPERLINK("http://ictvonline.org/taxonomy/p/taxonomy-history?taxnode_id=201855075","ICTVonline=201855075")</f>
        <v>ICTVonline=201855075</v>
      </c>
      <c r="AA5479" s="1">
        <v>201850000</v>
      </c>
      <c r="AB5479" s="1">
        <v>34</v>
      </c>
    </row>
    <row r="5480" spans="1:28" x14ac:dyDescent="0.15">
      <c r="A5480" s="1">
        <v>13614</v>
      </c>
      <c r="L5480" s="1" t="s">
        <v>1587</v>
      </c>
      <c r="N5480" s="1" t="s">
        <v>5594</v>
      </c>
      <c r="P5480" s="1" t="s">
        <v>5595</v>
      </c>
      <c r="Q5480" s="3">
        <v>0</v>
      </c>
      <c r="S5480" s="23" t="s">
        <v>5949</v>
      </c>
      <c r="W5480" s="45" t="str">
        <f>HYPERLINK("http://ictvonline.org/taxonomy/p/taxonomy-history?taxnode_id=201855995","ICTVonline=201855995")</f>
        <v>ICTVonline=201855995</v>
      </c>
      <c r="AA5480" s="1">
        <v>201850000</v>
      </c>
      <c r="AB5480" s="1">
        <v>34</v>
      </c>
    </row>
    <row r="5481" spans="1:28" x14ac:dyDescent="0.15">
      <c r="A5481" s="1">
        <v>13616</v>
      </c>
      <c r="L5481" s="1" t="s">
        <v>1587</v>
      </c>
      <c r="N5481" s="1" t="s">
        <v>5594</v>
      </c>
      <c r="P5481" s="1" t="s">
        <v>5596</v>
      </c>
      <c r="Q5481" s="3">
        <v>0</v>
      </c>
      <c r="S5481" s="23" t="s">
        <v>5949</v>
      </c>
      <c r="W5481" s="45" t="str">
        <f>HYPERLINK("http://ictvonline.org/taxonomy/p/taxonomy-history?taxnode_id=201855996","ICTVonline=201855996")</f>
        <v>ICTVonline=201855996</v>
      </c>
      <c r="AA5481" s="1">
        <v>201850000</v>
      </c>
      <c r="AB5481" s="1">
        <v>34</v>
      </c>
    </row>
    <row r="5482" spans="1:28" x14ac:dyDescent="0.15">
      <c r="A5482" s="1">
        <v>13620</v>
      </c>
      <c r="L5482" s="1" t="s">
        <v>1587</v>
      </c>
      <c r="N5482" s="1" t="s">
        <v>7146</v>
      </c>
      <c r="P5482" s="1" t="s">
        <v>7147</v>
      </c>
      <c r="Q5482" s="3">
        <v>1</v>
      </c>
      <c r="S5482" s="23" t="s">
        <v>5949</v>
      </c>
      <c r="T5482" s="23" t="s">
        <v>4929</v>
      </c>
      <c r="U5482" s="3">
        <v>34</v>
      </c>
      <c r="V5482" s="3" t="s">
        <v>7148</v>
      </c>
      <c r="W5482" s="45" t="str">
        <f>HYPERLINK("http://ictvonline.org/taxonomy/p/taxonomy-history?taxnode_id=201856875","ICTVonline=201856875")</f>
        <v>ICTVonline=201856875</v>
      </c>
      <c r="AA5482" s="1">
        <v>201850000</v>
      </c>
      <c r="AB5482" s="1">
        <v>34</v>
      </c>
    </row>
    <row r="5483" spans="1:28" x14ac:dyDescent="0.15">
      <c r="A5483" s="1">
        <v>13626</v>
      </c>
      <c r="L5483" s="1" t="s">
        <v>4843</v>
      </c>
      <c r="N5483" s="1" t="s">
        <v>4844</v>
      </c>
      <c r="P5483" s="1" t="s">
        <v>4845</v>
      </c>
      <c r="Q5483" s="3">
        <v>0</v>
      </c>
      <c r="S5483" s="23" t="s">
        <v>5949</v>
      </c>
      <c r="W5483" s="45" t="str">
        <f>HYPERLINK("http://ictvonline.org/taxonomy/p/taxonomy-history?taxnode_id=201855119","ICTVonline=201855119")</f>
        <v>ICTVonline=201855119</v>
      </c>
      <c r="AA5483" s="1">
        <v>201850000</v>
      </c>
      <c r="AB5483" s="1">
        <v>34</v>
      </c>
    </row>
    <row r="5484" spans="1:28" x14ac:dyDescent="0.15">
      <c r="A5484" s="1">
        <v>13628</v>
      </c>
      <c r="L5484" s="1" t="s">
        <v>4843</v>
      </c>
      <c r="N5484" s="1" t="s">
        <v>4844</v>
      </c>
      <c r="P5484" s="1" t="s">
        <v>4846</v>
      </c>
      <c r="Q5484" s="3">
        <v>0</v>
      </c>
      <c r="S5484" s="23" t="s">
        <v>5949</v>
      </c>
      <c r="W5484" s="45" t="str">
        <f>HYPERLINK("http://ictvonline.org/taxonomy/p/taxonomy-history?taxnode_id=201855120","ICTVonline=201855120")</f>
        <v>ICTVonline=201855120</v>
      </c>
      <c r="AA5484" s="1">
        <v>201850000</v>
      </c>
      <c r="AB5484" s="1">
        <v>34</v>
      </c>
    </row>
    <row r="5485" spans="1:28" x14ac:dyDescent="0.15">
      <c r="A5485" s="1">
        <v>13630</v>
      </c>
      <c r="L5485" s="1" t="s">
        <v>4843</v>
      </c>
      <c r="N5485" s="1" t="s">
        <v>4844</v>
      </c>
      <c r="P5485" s="1" t="s">
        <v>4847</v>
      </c>
      <c r="Q5485" s="3">
        <v>0</v>
      </c>
      <c r="S5485" s="23" t="s">
        <v>5949</v>
      </c>
      <c r="W5485" s="45" t="str">
        <f>HYPERLINK("http://ictvonline.org/taxonomy/p/taxonomy-history?taxnode_id=201855121","ICTVonline=201855121")</f>
        <v>ICTVonline=201855121</v>
      </c>
      <c r="AA5485" s="1">
        <v>201850000</v>
      </c>
      <c r="AB5485" s="1">
        <v>34</v>
      </c>
    </row>
    <row r="5486" spans="1:28" x14ac:dyDescent="0.15">
      <c r="A5486" s="1">
        <v>13632</v>
      </c>
      <c r="L5486" s="1" t="s">
        <v>4843</v>
      </c>
      <c r="N5486" s="1" t="s">
        <v>4844</v>
      </c>
      <c r="P5486" s="1" t="s">
        <v>4848</v>
      </c>
      <c r="Q5486" s="3">
        <v>1</v>
      </c>
      <c r="S5486" s="23" t="s">
        <v>5949</v>
      </c>
      <c r="W5486" s="45" t="str">
        <f>HYPERLINK("http://ictvonline.org/taxonomy/p/taxonomy-history?taxnode_id=201855122","ICTVonline=201855122")</f>
        <v>ICTVonline=201855122</v>
      </c>
      <c r="AA5486" s="1">
        <v>201850000</v>
      </c>
      <c r="AB5486" s="1">
        <v>34</v>
      </c>
    </row>
    <row r="5487" spans="1:28" x14ac:dyDescent="0.15">
      <c r="A5487" s="1">
        <v>13634</v>
      </c>
      <c r="L5487" s="1" t="s">
        <v>4843</v>
      </c>
      <c r="N5487" s="1" t="s">
        <v>4844</v>
      </c>
      <c r="P5487" s="1" t="s">
        <v>4849</v>
      </c>
      <c r="Q5487" s="3">
        <v>0</v>
      </c>
      <c r="S5487" s="23" t="s">
        <v>5949</v>
      </c>
      <c r="W5487" s="45" t="str">
        <f>HYPERLINK("http://ictvonline.org/taxonomy/p/taxonomy-history?taxnode_id=201855123","ICTVonline=201855123")</f>
        <v>ICTVonline=201855123</v>
      </c>
      <c r="AA5487" s="1">
        <v>201850000</v>
      </c>
      <c r="AB5487" s="1">
        <v>34</v>
      </c>
    </row>
    <row r="5488" spans="1:28" x14ac:dyDescent="0.15">
      <c r="A5488" s="1">
        <v>13636</v>
      </c>
      <c r="L5488" s="1" t="s">
        <v>4843</v>
      </c>
      <c r="N5488" s="1" t="s">
        <v>4844</v>
      </c>
      <c r="P5488" s="1" t="s">
        <v>4850</v>
      </c>
      <c r="Q5488" s="3">
        <v>0</v>
      </c>
      <c r="S5488" s="23" t="s">
        <v>5949</v>
      </c>
      <c r="W5488" s="45" t="str">
        <f>HYPERLINK("http://ictvonline.org/taxonomy/p/taxonomy-history?taxnode_id=201855124","ICTVonline=201855124")</f>
        <v>ICTVonline=201855124</v>
      </c>
      <c r="AA5488" s="1">
        <v>201850000</v>
      </c>
      <c r="AB5488" s="1">
        <v>34</v>
      </c>
    </row>
    <row r="5489" spans="1:28" x14ac:dyDescent="0.15">
      <c r="A5489" s="1">
        <v>13638</v>
      </c>
      <c r="L5489" s="1" t="s">
        <v>4843</v>
      </c>
      <c r="N5489" s="1" t="s">
        <v>4844</v>
      </c>
      <c r="P5489" s="1" t="s">
        <v>4851</v>
      </c>
      <c r="Q5489" s="3">
        <v>0</v>
      </c>
      <c r="S5489" s="23" t="s">
        <v>5949</v>
      </c>
      <c r="W5489" s="45" t="str">
        <f>HYPERLINK("http://ictvonline.org/taxonomy/p/taxonomy-history?taxnode_id=201855125","ICTVonline=201855125")</f>
        <v>ICTVonline=201855125</v>
      </c>
      <c r="AA5489" s="1">
        <v>201850000</v>
      </c>
      <c r="AB5489" s="1">
        <v>34</v>
      </c>
    </row>
    <row r="5490" spans="1:28" x14ac:dyDescent="0.15">
      <c r="A5490" s="1">
        <v>13640</v>
      </c>
      <c r="L5490" s="1" t="s">
        <v>4843</v>
      </c>
      <c r="N5490" s="1" t="s">
        <v>4844</v>
      </c>
      <c r="P5490" s="1" t="s">
        <v>4852</v>
      </c>
      <c r="Q5490" s="3">
        <v>0</v>
      </c>
      <c r="S5490" s="23" t="s">
        <v>5949</v>
      </c>
      <c r="W5490" s="45" t="str">
        <f>HYPERLINK("http://ictvonline.org/taxonomy/p/taxonomy-history?taxnode_id=201855126","ICTVonline=201855126")</f>
        <v>ICTVonline=201855126</v>
      </c>
      <c r="AA5490" s="1">
        <v>201850000</v>
      </c>
      <c r="AB5490" s="1">
        <v>34</v>
      </c>
    </row>
    <row r="5491" spans="1:28" x14ac:dyDescent="0.15">
      <c r="A5491" s="1">
        <v>13642</v>
      </c>
      <c r="L5491" s="1" t="s">
        <v>4843</v>
      </c>
      <c r="N5491" s="1" t="s">
        <v>4844</v>
      </c>
      <c r="P5491" s="1" t="s">
        <v>4853</v>
      </c>
      <c r="Q5491" s="3">
        <v>0</v>
      </c>
      <c r="S5491" s="23" t="s">
        <v>5949</v>
      </c>
      <c r="W5491" s="45" t="str">
        <f>HYPERLINK("http://ictvonline.org/taxonomy/p/taxonomy-history?taxnode_id=201855127","ICTVonline=201855127")</f>
        <v>ICTVonline=201855127</v>
      </c>
      <c r="AA5491" s="1">
        <v>201850000</v>
      </c>
      <c r="AB5491" s="1">
        <v>34</v>
      </c>
    </row>
    <row r="5492" spans="1:28" x14ac:dyDescent="0.15">
      <c r="A5492" s="1">
        <v>13644</v>
      </c>
      <c r="L5492" s="1" t="s">
        <v>4843</v>
      </c>
      <c r="N5492" s="1" t="s">
        <v>4844</v>
      </c>
      <c r="P5492" s="1" t="s">
        <v>4854</v>
      </c>
      <c r="Q5492" s="3">
        <v>0</v>
      </c>
      <c r="S5492" s="23" t="s">
        <v>5949</v>
      </c>
      <c r="W5492" s="45" t="str">
        <f>HYPERLINK("http://ictvonline.org/taxonomy/p/taxonomy-history?taxnode_id=201855128","ICTVonline=201855128")</f>
        <v>ICTVonline=201855128</v>
      </c>
      <c r="AA5492" s="1">
        <v>201850000</v>
      </c>
      <c r="AB5492" s="1">
        <v>34</v>
      </c>
    </row>
    <row r="5493" spans="1:28" x14ac:dyDescent="0.15">
      <c r="A5493" s="1">
        <v>13646</v>
      </c>
      <c r="L5493" s="1" t="s">
        <v>4843</v>
      </c>
      <c r="N5493" s="1" t="s">
        <v>4844</v>
      </c>
      <c r="P5493" s="1" t="s">
        <v>4855</v>
      </c>
      <c r="Q5493" s="3">
        <v>0</v>
      </c>
      <c r="S5493" s="23" t="s">
        <v>5949</v>
      </c>
      <c r="W5493" s="45" t="str">
        <f>HYPERLINK("http://ictvonline.org/taxonomy/p/taxonomy-history?taxnode_id=201855129","ICTVonline=201855129")</f>
        <v>ICTVonline=201855129</v>
      </c>
      <c r="AA5493" s="1">
        <v>201850000</v>
      </c>
      <c r="AB5493" s="1">
        <v>34</v>
      </c>
    </row>
    <row r="5494" spans="1:28" x14ac:dyDescent="0.15">
      <c r="A5494" s="1">
        <v>13648</v>
      </c>
      <c r="L5494" s="1" t="s">
        <v>4843</v>
      </c>
      <c r="N5494" s="1" t="s">
        <v>4844</v>
      </c>
      <c r="P5494" s="1" t="s">
        <v>4856</v>
      </c>
      <c r="Q5494" s="3">
        <v>0</v>
      </c>
      <c r="S5494" s="23" t="s">
        <v>5949</v>
      </c>
      <c r="W5494" s="45" t="str">
        <f>HYPERLINK("http://ictvonline.org/taxonomy/p/taxonomy-history?taxnode_id=201855130","ICTVonline=201855130")</f>
        <v>ICTVonline=201855130</v>
      </c>
      <c r="AA5494" s="1">
        <v>201850000</v>
      </c>
      <c r="AB5494" s="1">
        <v>34</v>
      </c>
    </row>
    <row r="5495" spans="1:28" x14ac:dyDescent="0.15">
      <c r="A5495" s="1">
        <v>13650</v>
      </c>
      <c r="L5495" s="1" t="s">
        <v>4843</v>
      </c>
      <c r="N5495" s="1" t="s">
        <v>4844</v>
      </c>
      <c r="P5495" s="1" t="s">
        <v>4857</v>
      </c>
      <c r="Q5495" s="3">
        <v>0</v>
      </c>
      <c r="S5495" s="23" t="s">
        <v>5949</v>
      </c>
      <c r="W5495" s="45" t="str">
        <f>HYPERLINK("http://ictvonline.org/taxonomy/p/taxonomy-history?taxnode_id=201855131","ICTVonline=201855131")</f>
        <v>ICTVonline=201855131</v>
      </c>
      <c r="AA5495" s="1">
        <v>201850000</v>
      </c>
      <c r="AB5495" s="1">
        <v>34</v>
      </c>
    </row>
    <row r="5496" spans="1:28" x14ac:dyDescent="0.15">
      <c r="A5496" s="1">
        <v>13652</v>
      </c>
      <c r="L5496" s="1" t="s">
        <v>4843</v>
      </c>
      <c r="N5496" s="1" t="s">
        <v>4844</v>
      </c>
      <c r="P5496" s="1" t="s">
        <v>4858</v>
      </c>
      <c r="Q5496" s="3">
        <v>0</v>
      </c>
      <c r="S5496" s="23" t="s">
        <v>5949</v>
      </c>
      <c r="W5496" s="45" t="str">
        <f>HYPERLINK("http://ictvonline.org/taxonomy/p/taxonomy-history?taxnode_id=201855132","ICTVonline=201855132")</f>
        <v>ICTVonline=201855132</v>
      </c>
      <c r="AA5496" s="1">
        <v>201850000</v>
      </c>
      <c r="AB5496" s="1">
        <v>34</v>
      </c>
    </row>
    <row r="5497" spans="1:28" x14ac:dyDescent="0.15">
      <c r="A5497" s="1">
        <v>13654</v>
      </c>
      <c r="L5497" s="1" t="s">
        <v>4843</v>
      </c>
      <c r="N5497" s="1" t="s">
        <v>4844</v>
      </c>
      <c r="P5497" s="1" t="s">
        <v>4859</v>
      </c>
      <c r="Q5497" s="3">
        <v>0</v>
      </c>
      <c r="S5497" s="23" t="s">
        <v>5949</v>
      </c>
      <c r="W5497" s="45" t="str">
        <f>HYPERLINK("http://ictvonline.org/taxonomy/p/taxonomy-history?taxnode_id=201855133","ICTVonline=201855133")</f>
        <v>ICTVonline=201855133</v>
      </c>
      <c r="AA5497" s="1">
        <v>201850000</v>
      </c>
      <c r="AB5497" s="1">
        <v>34</v>
      </c>
    </row>
    <row r="5498" spans="1:28" x14ac:dyDescent="0.15">
      <c r="A5498" s="1">
        <v>13656</v>
      </c>
      <c r="L5498" s="1" t="s">
        <v>4843</v>
      </c>
      <c r="N5498" s="1" t="s">
        <v>4844</v>
      </c>
      <c r="P5498" s="1" t="s">
        <v>4860</v>
      </c>
      <c r="Q5498" s="3">
        <v>0</v>
      </c>
      <c r="S5498" s="23" t="s">
        <v>5949</v>
      </c>
      <c r="W5498" s="45" t="str">
        <f>HYPERLINK("http://ictvonline.org/taxonomy/p/taxonomy-history?taxnode_id=201855134","ICTVonline=201855134")</f>
        <v>ICTVonline=201855134</v>
      </c>
      <c r="AA5498" s="1">
        <v>201850000</v>
      </c>
      <c r="AB5498" s="1">
        <v>34</v>
      </c>
    </row>
    <row r="5499" spans="1:28" x14ac:dyDescent="0.15">
      <c r="A5499" s="1">
        <v>13658</v>
      </c>
      <c r="L5499" s="1" t="s">
        <v>4843</v>
      </c>
      <c r="N5499" s="1" t="s">
        <v>4844</v>
      </c>
      <c r="P5499" s="1" t="s">
        <v>4861</v>
      </c>
      <c r="Q5499" s="3">
        <v>0</v>
      </c>
      <c r="S5499" s="23" t="s">
        <v>5949</v>
      </c>
      <c r="W5499" s="45" t="str">
        <f>HYPERLINK("http://ictvonline.org/taxonomy/p/taxonomy-history?taxnode_id=201855135","ICTVonline=201855135")</f>
        <v>ICTVonline=201855135</v>
      </c>
      <c r="AA5499" s="1">
        <v>201850000</v>
      </c>
      <c r="AB5499" s="1">
        <v>34</v>
      </c>
    </row>
    <row r="5500" spans="1:28" x14ac:dyDescent="0.15">
      <c r="A5500" s="1">
        <v>13660</v>
      </c>
      <c r="L5500" s="1" t="s">
        <v>4843</v>
      </c>
      <c r="N5500" s="1" t="s">
        <v>4844</v>
      </c>
      <c r="P5500" s="1" t="s">
        <v>4862</v>
      </c>
      <c r="Q5500" s="3">
        <v>0</v>
      </c>
      <c r="S5500" s="23" t="s">
        <v>5949</v>
      </c>
      <c r="W5500" s="45" t="str">
        <f>HYPERLINK("http://ictvonline.org/taxonomy/p/taxonomy-history?taxnode_id=201855136","ICTVonline=201855136")</f>
        <v>ICTVonline=201855136</v>
      </c>
      <c r="AA5500" s="1">
        <v>201850000</v>
      </c>
      <c r="AB5500" s="1">
        <v>34</v>
      </c>
    </row>
    <row r="5501" spans="1:28" x14ac:dyDescent="0.15">
      <c r="A5501" s="1">
        <v>13662</v>
      </c>
      <c r="L5501" s="1" t="s">
        <v>4843</v>
      </c>
      <c r="N5501" s="1" t="s">
        <v>4844</v>
      </c>
      <c r="P5501" s="1" t="s">
        <v>4863</v>
      </c>
      <c r="Q5501" s="3">
        <v>0</v>
      </c>
      <c r="S5501" s="23" t="s">
        <v>5949</v>
      </c>
      <c r="W5501" s="45" t="str">
        <f>HYPERLINK("http://ictvonline.org/taxonomy/p/taxonomy-history?taxnode_id=201855137","ICTVonline=201855137")</f>
        <v>ICTVonline=201855137</v>
      </c>
      <c r="AA5501" s="1">
        <v>201850000</v>
      </c>
      <c r="AB5501" s="1">
        <v>34</v>
      </c>
    </row>
    <row r="5502" spans="1:28" x14ac:dyDescent="0.15">
      <c r="A5502" s="1">
        <v>13664</v>
      </c>
      <c r="L5502" s="1" t="s">
        <v>4843</v>
      </c>
      <c r="N5502" s="1" t="s">
        <v>4844</v>
      </c>
      <c r="P5502" s="1" t="s">
        <v>4864</v>
      </c>
      <c r="Q5502" s="3">
        <v>0</v>
      </c>
      <c r="S5502" s="23" t="s">
        <v>5949</v>
      </c>
      <c r="W5502" s="45" t="str">
        <f>HYPERLINK("http://ictvonline.org/taxonomy/p/taxonomy-history?taxnode_id=201855138","ICTVonline=201855138")</f>
        <v>ICTVonline=201855138</v>
      </c>
      <c r="AA5502" s="1">
        <v>201850000</v>
      </c>
      <c r="AB5502" s="1">
        <v>34</v>
      </c>
    </row>
    <row r="5503" spans="1:28" x14ac:dyDescent="0.15">
      <c r="A5503" s="1">
        <v>13666</v>
      </c>
      <c r="L5503" s="1" t="s">
        <v>4843</v>
      </c>
      <c r="N5503" s="1" t="s">
        <v>4844</v>
      </c>
      <c r="P5503" s="1" t="s">
        <v>4865</v>
      </c>
      <c r="Q5503" s="3">
        <v>0</v>
      </c>
      <c r="S5503" s="23" t="s">
        <v>5949</v>
      </c>
      <c r="W5503" s="45" t="str">
        <f>HYPERLINK("http://ictvonline.org/taxonomy/p/taxonomy-history?taxnode_id=201855139","ICTVonline=201855139")</f>
        <v>ICTVonline=201855139</v>
      </c>
      <c r="AA5503" s="1">
        <v>201850000</v>
      </c>
      <c r="AB5503" s="1">
        <v>34</v>
      </c>
    </row>
    <row r="5504" spans="1:28" x14ac:dyDescent="0.15">
      <c r="A5504" s="1">
        <v>13668</v>
      </c>
      <c r="L5504" s="1" t="s">
        <v>4843</v>
      </c>
      <c r="N5504" s="1" t="s">
        <v>4844</v>
      </c>
      <c r="P5504" s="1" t="s">
        <v>4866</v>
      </c>
      <c r="Q5504" s="3">
        <v>0</v>
      </c>
      <c r="S5504" s="23" t="s">
        <v>5949</v>
      </c>
      <c r="W5504" s="45" t="str">
        <f>HYPERLINK("http://ictvonline.org/taxonomy/p/taxonomy-history?taxnode_id=201855140","ICTVonline=201855140")</f>
        <v>ICTVonline=201855140</v>
      </c>
      <c r="AA5504" s="1">
        <v>201850000</v>
      </c>
      <c r="AB5504" s="1">
        <v>34</v>
      </c>
    </row>
    <row r="5505" spans="1:28" x14ac:dyDescent="0.15">
      <c r="A5505" s="1">
        <v>13670</v>
      </c>
      <c r="L5505" s="1" t="s">
        <v>4843</v>
      </c>
      <c r="N5505" s="1" t="s">
        <v>4844</v>
      </c>
      <c r="P5505" s="1" t="s">
        <v>4867</v>
      </c>
      <c r="Q5505" s="3">
        <v>0</v>
      </c>
      <c r="S5505" s="23" t="s">
        <v>5949</v>
      </c>
      <c r="W5505" s="45" t="str">
        <f>HYPERLINK("http://ictvonline.org/taxonomy/p/taxonomy-history?taxnode_id=201855141","ICTVonline=201855141")</f>
        <v>ICTVonline=201855141</v>
      </c>
      <c r="AA5505" s="1">
        <v>201850000</v>
      </c>
      <c r="AB5505" s="1">
        <v>34</v>
      </c>
    </row>
    <row r="5506" spans="1:28" x14ac:dyDescent="0.15">
      <c r="A5506" s="1">
        <v>13672</v>
      </c>
      <c r="L5506" s="1" t="s">
        <v>4843</v>
      </c>
      <c r="N5506" s="1" t="s">
        <v>4844</v>
      </c>
      <c r="P5506" s="1" t="s">
        <v>4868</v>
      </c>
      <c r="Q5506" s="3">
        <v>0</v>
      </c>
      <c r="S5506" s="23" t="s">
        <v>5949</v>
      </c>
      <c r="W5506" s="45" t="str">
        <f>HYPERLINK("http://ictvonline.org/taxonomy/p/taxonomy-history?taxnode_id=201855142","ICTVonline=201855142")</f>
        <v>ICTVonline=201855142</v>
      </c>
      <c r="AA5506" s="1">
        <v>201850000</v>
      </c>
      <c r="AB5506" s="1">
        <v>34</v>
      </c>
    </row>
    <row r="5507" spans="1:28" x14ac:dyDescent="0.15">
      <c r="A5507" s="1">
        <v>13674</v>
      </c>
      <c r="L5507" s="1" t="s">
        <v>4843</v>
      </c>
      <c r="N5507" s="1" t="s">
        <v>4844</v>
      </c>
      <c r="P5507" s="1" t="s">
        <v>4869</v>
      </c>
      <c r="Q5507" s="3">
        <v>0</v>
      </c>
      <c r="S5507" s="23" t="s">
        <v>5949</v>
      </c>
      <c r="W5507" s="45" t="str">
        <f>HYPERLINK("http://ictvonline.org/taxonomy/p/taxonomy-history?taxnode_id=201855143","ICTVonline=201855143")</f>
        <v>ICTVonline=201855143</v>
      </c>
      <c r="AA5507" s="1">
        <v>201850000</v>
      </c>
      <c r="AB5507" s="1">
        <v>34</v>
      </c>
    </row>
    <row r="5508" spans="1:28" x14ac:dyDescent="0.15">
      <c r="A5508" s="1">
        <v>13676</v>
      </c>
      <c r="L5508" s="1" t="s">
        <v>4843</v>
      </c>
      <c r="N5508" s="1" t="s">
        <v>4844</v>
      </c>
      <c r="P5508" s="1" t="s">
        <v>4870</v>
      </c>
      <c r="Q5508" s="3">
        <v>0</v>
      </c>
      <c r="S5508" s="23" t="s">
        <v>5949</v>
      </c>
      <c r="W5508" s="45" t="str">
        <f>HYPERLINK("http://ictvonline.org/taxonomy/p/taxonomy-history?taxnode_id=201855144","ICTVonline=201855144")</f>
        <v>ICTVonline=201855144</v>
      </c>
      <c r="AA5508" s="1">
        <v>201850000</v>
      </c>
      <c r="AB5508" s="1">
        <v>34</v>
      </c>
    </row>
    <row r="5509" spans="1:28" x14ac:dyDescent="0.15">
      <c r="A5509" s="1">
        <v>13678</v>
      </c>
      <c r="L5509" s="1" t="s">
        <v>4843</v>
      </c>
      <c r="N5509" s="1" t="s">
        <v>4844</v>
      </c>
      <c r="P5509" s="1" t="s">
        <v>4871</v>
      </c>
      <c r="Q5509" s="3">
        <v>0</v>
      </c>
      <c r="S5509" s="23" t="s">
        <v>5949</v>
      </c>
      <c r="W5509" s="45" t="str">
        <f>HYPERLINK("http://ictvonline.org/taxonomy/p/taxonomy-history?taxnode_id=201855145","ICTVonline=201855145")</f>
        <v>ICTVonline=201855145</v>
      </c>
      <c r="AA5509" s="1">
        <v>201850000</v>
      </c>
      <c r="AB5509" s="1">
        <v>34</v>
      </c>
    </row>
    <row r="5510" spans="1:28" x14ac:dyDescent="0.15">
      <c r="A5510" s="1">
        <v>13680</v>
      </c>
      <c r="L5510" s="1" t="s">
        <v>4843</v>
      </c>
      <c r="N5510" s="1" t="s">
        <v>4844</v>
      </c>
      <c r="P5510" s="1" t="s">
        <v>4872</v>
      </c>
      <c r="Q5510" s="3">
        <v>0</v>
      </c>
      <c r="S5510" s="23" t="s">
        <v>5949</v>
      </c>
      <c r="W5510" s="45" t="str">
        <f>HYPERLINK("http://ictvonline.org/taxonomy/p/taxonomy-history?taxnode_id=201855146","ICTVonline=201855146")</f>
        <v>ICTVonline=201855146</v>
      </c>
      <c r="AA5510" s="1">
        <v>201850000</v>
      </c>
      <c r="AB5510" s="1">
        <v>34</v>
      </c>
    </row>
    <row r="5511" spans="1:28" x14ac:dyDescent="0.15">
      <c r="A5511" s="1">
        <v>13682</v>
      </c>
      <c r="L5511" s="1" t="s">
        <v>4843</v>
      </c>
      <c r="N5511" s="1" t="s">
        <v>4844</v>
      </c>
      <c r="P5511" s="1" t="s">
        <v>4873</v>
      </c>
      <c r="Q5511" s="3">
        <v>0</v>
      </c>
      <c r="S5511" s="23" t="s">
        <v>5949</v>
      </c>
      <c r="W5511" s="45" t="str">
        <f>HYPERLINK("http://ictvonline.org/taxonomy/p/taxonomy-history?taxnode_id=201855147","ICTVonline=201855147")</f>
        <v>ICTVonline=201855147</v>
      </c>
      <c r="AA5511" s="1">
        <v>201850000</v>
      </c>
      <c r="AB5511" s="1">
        <v>34</v>
      </c>
    </row>
    <row r="5512" spans="1:28" x14ac:dyDescent="0.15">
      <c r="A5512" s="1">
        <v>13684</v>
      </c>
      <c r="L5512" s="1" t="s">
        <v>4843</v>
      </c>
      <c r="N5512" s="1" t="s">
        <v>4844</v>
      </c>
      <c r="P5512" s="1" t="s">
        <v>4874</v>
      </c>
      <c r="Q5512" s="3">
        <v>0</v>
      </c>
      <c r="S5512" s="23" t="s">
        <v>5949</v>
      </c>
      <c r="W5512" s="45" t="str">
        <f>HYPERLINK("http://ictvonline.org/taxonomy/p/taxonomy-history?taxnode_id=201855148","ICTVonline=201855148")</f>
        <v>ICTVonline=201855148</v>
      </c>
      <c r="AA5512" s="1">
        <v>201850000</v>
      </c>
      <c r="AB5512" s="1">
        <v>34</v>
      </c>
    </row>
    <row r="5513" spans="1:28" x14ac:dyDescent="0.15">
      <c r="A5513" s="1">
        <v>13686</v>
      </c>
      <c r="L5513" s="1" t="s">
        <v>4843</v>
      </c>
      <c r="N5513" s="1" t="s">
        <v>4844</v>
      </c>
      <c r="P5513" s="1" t="s">
        <v>4875</v>
      </c>
      <c r="Q5513" s="3">
        <v>0</v>
      </c>
      <c r="S5513" s="23" t="s">
        <v>5949</v>
      </c>
      <c r="W5513" s="45" t="str">
        <f>HYPERLINK("http://ictvonline.org/taxonomy/p/taxonomy-history?taxnode_id=201855149","ICTVonline=201855149")</f>
        <v>ICTVonline=201855149</v>
      </c>
      <c r="AA5513" s="1">
        <v>201850000</v>
      </c>
      <c r="AB5513" s="1">
        <v>34</v>
      </c>
    </row>
    <row r="5514" spans="1:28" x14ac:dyDescent="0.15">
      <c r="A5514" s="1">
        <v>13688</v>
      </c>
      <c r="L5514" s="1" t="s">
        <v>4843</v>
      </c>
      <c r="N5514" s="1" t="s">
        <v>4844</v>
      </c>
      <c r="P5514" s="1" t="s">
        <v>4876</v>
      </c>
      <c r="Q5514" s="3">
        <v>0</v>
      </c>
      <c r="S5514" s="23" t="s">
        <v>5949</v>
      </c>
      <c r="W5514" s="45" t="str">
        <f>HYPERLINK("http://ictvonline.org/taxonomy/p/taxonomy-history?taxnode_id=201855150","ICTVonline=201855150")</f>
        <v>ICTVonline=201855150</v>
      </c>
      <c r="AA5514" s="1">
        <v>201850000</v>
      </c>
      <c r="AB5514" s="1">
        <v>34</v>
      </c>
    </row>
    <row r="5515" spans="1:28" x14ac:dyDescent="0.15">
      <c r="A5515" s="1">
        <v>13690</v>
      </c>
      <c r="L5515" s="1" t="s">
        <v>4843</v>
      </c>
      <c r="N5515" s="1" t="s">
        <v>4844</v>
      </c>
      <c r="P5515" s="1" t="s">
        <v>4877</v>
      </c>
      <c r="Q5515" s="3">
        <v>0</v>
      </c>
      <c r="S5515" s="23" t="s">
        <v>5949</v>
      </c>
      <c r="W5515" s="45" t="str">
        <f>HYPERLINK("http://ictvonline.org/taxonomy/p/taxonomy-history?taxnode_id=201855151","ICTVonline=201855151")</f>
        <v>ICTVonline=201855151</v>
      </c>
      <c r="AA5515" s="1">
        <v>201850000</v>
      </c>
      <c r="AB5515" s="1">
        <v>34</v>
      </c>
    </row>
    <row r="5516" spans="1:28" x14ac:dyDescent="0.15">
      <c r="A5516" s="1">
        <v>13692</v>
      </c>
      <c r="L5516" s="1" t="s">
        <v>4843</v>
      </c>
      <c r="N5516" s="1" t="s">
        <v>4844</v>
      </c>
      <c r="P5516" s="1" t="s">
        <v>4878</v>
      </c>
      <c r="Q5516" s="3">
        <v>0</v>
      </c>
      <c r="S5516" s="23" t="s">
        <v>5949</v>
      </c>
      <c r="W5516" s="45" t="str">
        <f>HYPERLINK("http://ictvonline.org/taxonomy/p/taxonomy-history?taxnode_id=201855152","ICTVonline=201855152")</f>
        <v>ICTVonline=201855152</v>
      </c>
      <c r="AA5516" s="1">
        <v>201850000</v>
      </c>
      <c r="AB5516" s="1">
        <v>34</v>
      </c>
    </row>
    <row r="5517" spans="1:28" x14ac:dyDescent="0.15">
      <c r="A5517" s="1">
        <v>13694</v>
      </c>
      <c r="L5517" s="1" t="s">
        <v>4843</v>
      </c>
      <c r="N5517" s="1" t="s">
        <v>4844</v>
      </c>
      <c r="P5517" s="1" t="s">
        <v>4879</v>
      </c>
      <c r="Q5517" s="3">
        <v>0</v>
      </c>
      <c r="S5517" s="23" t="s">
        <v>5949</v>
      </c>
      <c r="W5517" s="45" t="str">
        <f>HYPERLINK("http://ictvonline.org/taxonomy/p/taxonomy-history?taxnode_id=201855153","ICTVonline=201855153")</f>
        <v>ICTVonline=201855153</v>
      </c>
      <c r="AA5517" s="1">
        <v>201850000</v>
      </c>
      <c r="AB5517" s="1">
        <v>34</v>
      </c>
    </row>
    <row r="5518" spans="1:28" x14ac:dyDescent="0.15">
      <c r="A5518" s="1">
        <v>13696</v>
      </c>
      <c r="L5518" s="1" t="s">
        <v>4843</v>
      </c>
      <c r="N5518" s="1" t="s">
        <v>4844</v>
      </c>
      <c r="P5518" s="1" t="s">
        <v>4880</v>
      </c>
      <c r="Q5518" s="3">
        <v>0</v>
      </c>
      <c r="S5518" s="23" t="s">
        <v>5949</v>
      </c>
      <c r="W5518" s="45" t="str">
        <f>HYPERLINK("http://ictvonline.org/taxonomy/p/taxonomy-history?taxnode_id=201855154","ICTVonline=201855154")</f>
        <v>ICTVonline=201855154</v>
      </c>
      <c r="AA5518" s="1">
        <v>201850000</v>
      </c>
      <c r="AB5518" s="1">
        <v>34</v>
      </c>
    </row>
    <row r="5519" spans="1:28" x14ac:dyDescent="0.15">
      <c r="A5519" s="1">
        <v>13698</v>
      </c>
      <c r="L5519" s="1" t="s">
        <v>4843</v>
      </c>
      <c r="N5519" s="1" t="s">
        <v>4844</v>
      </c>
      <c r="P5519" s="1" t="s">
        <v>4881</v>
      </c>
      <c r="Q5519" s="3">
        <v>0</v>
      </c>
      <c r="S5519" s="23" t="s">
        <v>5949</v>
      </c>
      <c r="W5519" s="45" t="str">
        <f>HYPERLINK("http://ictvonline.org/taxonomy/p/taxonomy-history?taxnode_id=201855155","ICTVonline=201855155")</f>
        <v>ICTVonline=201855155</v>
      </c>
      <c r="AA5519" s="1">
        <v>201850000</v>
      </c>
      <c r="AB5519" s="1">
        <v>34</v>
      </c>
    </row>
    <row r="5520" spans="1:28" x14ac:dyDescent="0.15">
      <c r="A5520" s="1">
        <v>13700</v>
      </c>
      <c r="L5520" s="1" t="s">
        <v>4843</v>
      </c>
      <c r="N5520" s="1" t="s">
        <v>4844</v>
      </c>
      <c r="P5520" s="1" t="s">
        <v>4882</v>
      </c>
      <c r="Q5520" s="3">
        <v>0</v>
      </c>
      <c r="S5520" s="23" t="s">
        <v>5949</v>
      </c>
      <c r="W5520" s="45" t="str">
        <f>HYPERLINK("http://ictvonline.org/taxonomy/p/taxonomy-history?taxnode_id=201855156","ICTVonline=201855156")</f>
        <v>ICTVonline=201855156</v>
      </c>
      <c r="AA5520" s="1">
        <v>201850000</v>
      </c>
      <c r="AB5520" s="1">
        <v>34</v>
      </c>
    </row>
    <row r="5521" spans="1:28" x14ac:dyDescent="0.15">
      <c r="A5521" s="1">
        <v>13702</v>
      </c>
      <c r="L5521" s="1" t="s">
        <v>4843</v>
      </c>
      <c r="N5521" s="1" t="s">
        <v>4844</v>
      </c>
      <c r="P5521" s="1" t="s">
        <v>4883</v>
      </c>
      <c r="Q5521" s="3">
        <v>0</v>
      </c>
      <c r="S5521" s="23" t="s">
        <v>5949</v>
      </c>
      <c r="W5521" s="45" t="str">
        <f>HYPERLINK("http://ictvonline.org/taxonomy/p/taxonomy-history?taxnode_id=201855157","ICTVonline=201855157")</f>
        <v>ICTVonline=201855157</v>
      </c>
      <c r="AA5521" s="1">
        <v>201850000</v>
      </c>
      <c r="AB5521" s="1">
        <v>34</v>
      </c>
    </row>
    <row r="5522" spans="1:28" x14ac:dyDescent="0.15">
      <c r="A5522" s="1">
        <v>13704</v>
      </c>
      <c r="L5522" s="1" t="s">
        <v>4843</v>
      </c>
      <c r="N5522" s="1" t="s">
        <v>4844</v>
      </c>
      <c r="P5522" s="1" t="s">
        <v>4884</v>
      </c>
      <c r="Q5522" s="3">
        <v>0</v>
      </c>
      <c r="S5522" s="23" t="s">
        <v>5949</v>
      </c>
      <c r="W5522" s="45" t="str">
        <f>HYPERLINK("http://ictvonline.org/taxonomy/p/taxonomy-history?taxnode_id=201855158","ICTVonline=201855158")</f>
        <v>ICTVonline=201855158</v>
      </c>
      <c r="AA5522" s="1">
        <v>201850000</v>
      </c>
      <c r="AB5522" s="1">
        <v>34</v>
      </c>
    </row>
    <row r="5523" spans="1:28" x14ac:dyDescent="0.15">
      <c r="A5523" s="1">
        <v>13706</v>
      </c>
      <c r="L5523" s="1" t="s">
        <v>4843</v>
      </c>
      <c r="N5523" s="1" t="s">
        <v>4844</v>
      </c>
      <c r="P5523" s="1" t="s">
        <v>4885</v>
      </c>
      <c r="Q5523" s="3">
        <v>0</v>
      </c>
      <c r="S5523" s="23" t="s">
        <v>5949</v>
      </c>
      <c r="W5523" s="45" t="str">
        <f>HYPERLINK("http://ictvonline.org/taxonomy/p/taxonomy-history?taxnode_id=201855159","ICTVonline=201855159")</f>
        <v>ICTVonline=201855159</v>
      </c>
      <c r="AA5523" s="1">
        <v>201850000</v>
      </c>
      <c r="AB5523" s="1">
        <v>34</v>
      </c>
    </row>
    <row r="5524" spans="1:28" x14ac:dyDescent="0.15">
      <c r="A5524" s="1">
        <v>13708</v>
      </c>
      <c r="L5524" s="1" t="s">
        <v>4843</v>
      </c>
      <c r="N5524" s="1" t="s">
        <v>4844</v>
      </c>
      <c r="P5524" s="1" t="s">
        <v>4886</v>
      </c>
      <c r="Q5524" s="3">
        <v>0</v>
      </c>
      <c r="S5524" s="23" t="s">
        <v>5949</v>
      </c>
      <c r="W5524" s="45" t="str">
        <f>HYPERLINK("http://ictvonline.org/taxonomy/p/taxonomy-history?taxnode_id=201855160","ICTVonline=201855160")</f>
        <v>ICTVonline=201855160</v>
      </c>
      <c r="AA5524" s="1">
        <v>201850000</v>
      </c>
      <c r="AB5524" s="1">
        <v>34</v>
      </c>
    </row>
    <row r="5525" spans="1:28" x14ac:dyDescent="0.15">
      <c r="A5525" s="1">
        <v>13710</v>
      </c>
      <c r="L5525" s="1" t="s">
        <v>4843</v>
      </c>
      <c r="N5525" s="1" t="s">
        <v>4844</v>
      </c>
      <c r="P5525" s="1" t="s">
        <v>4887</v>
      </c>
      <c r="Q5525" s="3">
        <v>0</v>
      </c>
      <c r="S5525" s="23" t="s">
        <v>5949</v>
      </c>
      <c r="W5525" s="45" t="str">
        <f>HYPERLINK("http://ictvonline.org/taxonomy/p/taxonomy-history?taxnode_id=201855161","ICTVonline=201855161")</f>
        <v>ICTVonline=201855161</v>
      </c>
      <c r="AA5525" s="1">
        <v>201850000</v>
      </c>
      <c r="AB5525" s="1">
        <v>34</v>
      </c>
    </row>
    <row r="5526" spans="1:28" x14ac:dyDescent="0.15">
      <c r="A5526" s="1">
        <v>13712</v>
      </c>
      <c r="L5526" s="1" t="s">
        <v>4843</v>
      </c>
      <c r="N5526" s="1" t="s">
        <v>4844</v>
      </c>
      <c r="P5526" s="1" t="s">
        <v>5598</v>
      </c>
      <c r="Q5526" s="3">
        <v>0</v>
      </c>
      <c r="S5526" s="23" t="s">
        <v>5949</v>
      </c>
      <c r="W5526" s="45" t="str">
        <f>HYPERLINK("http://ictvonline.org/taxonomy/p/taxonomy-history?taxnode_id=201855162","ICTVonline=201855162")</f>
        <v>ICTVonline=201855162</v>
      </c>
      <c r="AA5526" s="1">
        <v>201850000</v>
      </c>
      <c r="AB5526" s="1">
        <v>34</v>
      </c>
    </row>
    <row r="5527" spans="1:28" x14ac:dyDescent="0.15">
      <c r="A5527" s="1">
        <v>13714</v>
      </c>
      <c r="L5527" s="1" t="s">
        <v>4843</v>
      </c>
      <c r="N5527" s="1" t="s">
        <v>4844</v>
      </c>
      <c r="P5527" s="1" t="s">
        <v>4888</v>
      </c>
      <c r="Q5527" s="3">
        <v>0</v>
      </c>
      <c r="S5527" s="23" t="s">
        <v>5949</v>
      </c>
      <c r="W5527" s="45" t="str">
        <f>HYPERLINK("http://ictvonline.org/taxonomy/p/taxonomy-history?taxnode_id=201855163","ICTVonline=201855163")</f>
        <v>ICTVonline=201855163</v>
      </c>
      <c r="AA5527" s="1">
        <v>201850000</v>
      </c>
      <c r="AB5527" s="1">
        <v>34</v>
      </c>
    </row>
    <row r="5528" spans="1:28" x14ac:dyDescent="0.15">
      <c r="A5528" s="1">
        <v>13716</v>
      </c>
      <c r="L5528" s="1" t="s">
        <v>4843</v>
      </c>
      <c r="N5528" s="1" t="s">
        <v>4844</v>
      </c>
      <c r="P5528" s="1" t="s">
        <v>4889</v>
      </c>
      <c r="Q5528" s="3">
        <v>0</v>
      </c>
      <c r="S5528" s="23" t="s">
        <v>5949</v>
      </c>
      <c r="W5528" s="45" t="str">
        <f>HYPERLINK("http://ictvonline.org/taxonomy/p/taxonomy-history?taxnode_id=201855164","ICTVonline=201855164")</f>
        <v>ICTVonline=201855164</v>
      </c>
      <c r="AA5528" s="1">
        <v>201850000</v>
      </c>
      <c r="AB5528" s="1">
        <v>34</v>
      </c>
    </row>
    <row r="5529" spans="1:28" x14ac:dyDescent="0.15">
      <c r="A5529" s="1">
        <v>13718</v>
      </c>
      <c r="L5529" s="1" t="s">
        <v>4843</v>
      </c>
      <c r="N5529" s="1" t="s">
        <v>4844</v>
      </c>
      <c r="P5529" s="1" t="s">
        <v>4890</v>
      </c>
      <c r="Q5529" s="3">
        <v>0</v>
      </c>
      <c r="S5529" s="23" t="s">
        <v>5949</v>
      </c>
      <c r="W5529" s="45" t="str">
        <f>HYPERLINK("http://ictvonline.org/taxonomy/p/taxonomy-history?taxnode_id=201855165","ICTVonline=201855165")</f>
        <v>ICTVonline=201855165</v>
      </c>
      <c r="AA5529" s="1">
        <v>201850000</v>
      </c>
      <c r="AB5529" s="1">
        <v>34</v>
      </c>
    </row>
    <row r="5530" spans="1:28" x14ac:dyDescent="0.15">
      <c r="A5530" s="1">
        <v>13720</v>
      </c>
      <c r="L5530" s="1" t="s">
        <v>4843</v>
      </c>
      <c r="N5530" s="1" t="s">
        <v>4844</v>
      </c>
      <c r="P5530" s="1" t="s">
        <v>4891</v>
      </c>
      <c r="Q5530" s="3">
        <v>0</v>
      </c>
      <c r="S5530" s="23" t="s">
        <v>5949</v>
      </c>
      <c r="W5530" s="45" t="str">
        <f>HYPERLINK("http://ictvonline.org/taxonomy/p/taxonomy-history?taxnode_id=201855166","ICTVonline=201855166")</f>
        <v>ICTVonline=201855166</v>
      </c>
      <c r="AA5530" s="1">
        <v>201850000</v>
      </c>
      <c r="AB5530" s="1">
        <v>34</v>
      </c>
    </row>
    <row r="5531" spans="1:28" x14ac:dyDescent="0.15">
      <c r="A5531" s="1">
        <v>13722</v>
      </c>
      <c r="L5531" s="1" t="s">
        <v>4843</v>
      </c>
      <c r="N5531" s="1" t="s">
        <v>4844</v>
      </c>
      <c r="P5531" s="1" t="s">
        <v>4892</v>
      </c>
      <c r="Q5531" s="3">
        <v>0</v>
      </c>
      <c r="S5531" s="23" t="s">
        <v>5949</v>
      </c>
      <c r="W5531" s="45" t="str">
        <f>HYPERLINK("http://ictvonline.org/taxonomy/p/taxonomy-history?taxnode_id=201855167","ICTVonline=201855167")</f>
        <v>ICTVonline=201855167</v>
      </c>
      <c r="AA5531" s="1">
        <v>201850000</v>
      </c>
      <c r="AB5531" s="1">
        <v>34</v>
      </c>
    </row>
    <row r="5532" spans="1:28" x14ac:dyDescent="0.15">
      <c r="A5532" s="1">
        <v>13724</v>
      </c>
      <c r="L5532" s="1" t="s">
        <v>4843</v>
      </c>
      <c r="N5532" s="1" t="s">
        <v>4844</v>
      </c>
      <c r="P5532" s="1" t="s">
        <v>4893</v>
      </c>
      <c r="Q5532" s="3">
        <v>0</v>
      </c>
      <c r="S5532" s="23" t="s">
        <v>5949</v>
      </c>
      <c r="W5532" s="45" t="str">
        <f>HYPERLINK("http://ictvonline.org/taxonomy/p/taxonomy-history?taxnode_id=201855168","ICTVonline=201855168")</f>
        <v>ICTVonline=201855168</v>
      </c>
      <c r="AA5532" s="1">
        <v>201850000</v>
      </c>
      <c r="AB5532" s="1">
        <v>34</v>
      </c>
    </row>
    <row r="5533" spans="1:28" x14ac:dyDescent="0.15">
      <c r="A5533" s="1">
        <v>13726</v>
      </c>
      <c r="L5533" s="1" t="s">
        <v>4843</v>
      </c>
      <c r="N5533" s="1" t="s">
        <v>4844</v>
      </c>
      <c r="P5533" s="1" t="s">
        <v>4894</v>
      </c>
      <c r="Q5533" s="3">
        <v>0</v>
      </c>
      <c r="S5533" s="23" t="s">
        <v>5949</v>
      </c>
      <c r="W5533" s="45" t="str">
        <f>HYPERLINK("http://ictvonline.org/taxonomy/p/taxonomy-history?taxnode_id=201855169","ICTVonline=201855169")</f>
        <v>ICTVonline=201855169</v>
      </c>
      <c r="AA5533" s="1">
        <v>201850000</v>
      </c>
      <c r="AB5533" s="1">
        <v>34</v>
      </c>
    </row>
    <row r="5534" spans="1:28" x14ac:dyDescent="0.15">
      <c r="A5534" s="1">
        <v>13728</v>
      </c>
      <c r="L5534" s="1" t="s">
        <v>4843</v>
      </c>
      <c r="N5534" s="1" t="s">
        <v>4844</v>
      </c>
      <c r="P5534" s="1" t="s">
        <v>4895</v>
      </c>
      <c r="Q5534" s="3">
        <v>0</v>
      </c>
      <c r="S5534" s="23" t="s">
        <v>5949</v>
      </c>
      <c r="W5534" s="45" t="str">
        <f>HYPERLINK("http://ictvonline.org/taxonomy/p/taxonomy-history?taxnode_id=201855170","ICTVonline=201855170")</f>
        <v>ICTVonline=201855170</v>
      </c>
      <c r="AA5534" s="1">
        <v>201850000</v>
      </c>
      <c r="AB5534" s="1">
        <v>34</v>
      </c>
    </row>
    <row r="5535" spans="1:28" x14ac:dyDescent="0.15">
      <c r="A5535" s="1">
        <v>13730</v>
      </c>
      <c r="L5535" s="1" t="s">
        <v>4843</v>
      </c>
      <c r="N5535" s="1" t="s">
        <v>4844</v>
      </c>
      <c r="P5535" s="1" t="s">
        <v>4896</v>
      </c>
      <c r="Q5535" s="3">
        <v>0</v>
      </c>
      <c r="S5535" s="23" t="s">
        <v>5949</v>
      </c>
      <c r="W5535" s="45" t="str">
        <f>HYPERLINK("http://ictvonline.org/taxonomy/p/taxonomy-history?taxnode_id=201855171","ICTVonline=201855171")</f>
        <v>ICTVonline=201855171</v>
      </c>
      <c r="AA5535" s="1">
        <v>201850000</v>
      </c>
      <c r="AB5535" s="1">
        <v>34</v>
      </c>
    </row>
    <row r="5536" spans="1:28" x14ac:dyDescent="0.15">
      <c r="A5536" s="1">
        <v>13732</v>
      </c>
      <c r="L5536" s="1" t="s">
        <v>4843</v>
      </c>
      <c r="N5536" s="1" t="s">
        <v>4844</v>
      </c>
      <c r="P5536" s="1" t="s">
        <v>4897</v>
      </c>
      <c r="Q5536" s="3">
        <v>0</v>
      </c>
      <c r="S5536" s="23" t="s">
        <v>5949</v>
      </c>
      <c r="W5536" s="45" t="str">
        <f>HYPERLINK("http://ictvonline.org/taxonomy/p/taxonomy-history?taxnode_id=201855172","ICTVonline=201855172")</f>
        <v>ICTVonline=201855172</v>
      </c>
      <c r="AA5536" s="1">
        <v>201850000</v>
      </c>
      <c r="AB5536" s="1">
        <v>34</v>
      </c>
    </row>
    <row r="5537" spans="1:28" x14ac:dyDescent="0.15">
      <c r="A5537" s="1">
        <v>13734</v>
      </c>
      <c r="L5537" s="1" t="s">
        <v>4843</v>
      </c>
      <c r="N5537" s="1" t="s">
        <v>4844</v>
      </c>
      <c r="P5537" s="1" t="s">
        <v>4898</v>
      </c>
      <c r="Q5537" s="3">
        <v>0</v>
      </c>
      <c r="S5537" s="23" t="s">
        <v>5949</v>
      </c>
      <c r="W5537" s="45" t="str">
        <f>HYPERLINK("http://ictvonline.org/taxonomy/p/taxonomy-history?taxnode_id=201855173","ICTVonline=201855173")</f>
        <v>ICTVonline=201855173</v>
      </c>
      <c r="AA5537" s="1">
        <v>201850000</v>
      </c>
      <c r="AB5537" s="1">
        <v>34</v>
      </c>
    </row>
    <row r="5538" spans="1:28" x14ac:dyDescent="0.15">
      <c r="A5538" s="1">
        <v>13736</v>
      </c>
      <c r="L5538" s="1" t="s">
        <v>4843</v>
      </c>
      <c r="N5538" s="1" t="s">
        <v>4844</v>
      </c>
      <c r="P5538" s="1" t="s">
        <v>4899</v>
      </c>
      <c r="Q5538" s="3">
        <v>0</v>
      </c>
      <c r="S5538" s="23" t="s">
        <v>5949</v>
      </c>
      <c r="W5538" s="45" t="str">
        <f>HYPERLINK("http://ictvonline.org/taxonomy/p/taxonomy-history?taxnode_id=201855174","ICTVonline=201855174")</f>
        <v>ICTVonline=201855174</v>
      </c>
      <c r="AA5538" s="1">
        <v>201850000</v>
      </c>
      <c r="AB5538" s="1">
        <v>34</v>
      </c>
    </row>
    <row r="5539" spans="1:28" x14ac:dyDescent="0.15">
      <c r="A5539" s="1">
        <v>13738</v>
      </c>
      <c r="L5539" s="1" t="s">
        <v>4843</v>
      </c>
      <c r="N5539" s="1" t="s">
        <v>4844</v>
      </c>
      <c r="P5539" s="1" t="s">
        <v>4900</v>
      </c>
      <c r="Q5539" s="3">
        <v>0</v>
      </c>
      <c r="S5539" s="23" t="s">
        <v>5949</v>
      </c>
      <c r="W5539" s="45" t="str">
        <f>HYPERLINK("http://ictvonline.org/taxonomy/p/taxonomy-history?taxnode_id=201855175","ICTVonline=201855175")</f>
        <v>ICTVonline=201855175</v>
      </c>
      <c r="AA5539" s="1">
        <v>201850000</v>
      </c>
      <c r="AB5539" s="1">
        <v>34</v>
      </c>
    </row>
    <row r="5540" spans="1:28" x14ac:dyDescent="0.15">
      <c r="A5540" s="1">
        <v>13740</v>
      </c>
      <c r="L5540" s="1" t="s">
        <v>4843</v>
      </c>
      <c r="N5540" s="1" t="s">
        <v>4844</v>
      </c>
      <c r="P5540" s="1" t="s">
        <v>4901</v>
      </c>
      <c r="Q5540" s="3">
        <v>0</v>
      </c>
      <c r="S5540" s="23" t="s">
        <v>5949</v>
      </c>
      <c r="W5540" s="45" t="str">
        <f>HYPERLINK("http://ictvonline.org/taxonomy/p/taxonomy-history?taxnode_id=201855176","ICTVonline=201855176")</f>
        <v>ICTVonline=201855176</v>
      </c>
      <c r="AA5540" s="1">
        <v>201850000</v>
      </c>
      <c r="AB5540" s="1">
        <v>34</v>
      </c>
    </row>
    <row r="5541" spans="1:28" x14ac:dyDescent="0.15">
      <c r="A5541" s="1">
        <v>13742</v>
      </c>
      <c r="L5541" s="1" t="s">
        <v>4843</v>
      </c>
      <c r="N5541" s="1" t="s">
        <v>4844</v>
      </c>
      <c r="P5541" s="1" t="s">
        <v>4902</v>
      </c>
      <c r="Q5541" s="3">
        <v>0</v>
      </c>
      <c r="S5541" s="23" t="s">
        <v>5949</v>
      </c>
      <c r="W5541" s="45" t="str">
        <f>HYPERLINK("http://ictvonline.org/taxonomy/p/taxonomy-history?taxnode_id=201855177","ICTVonline=201855177")</f>
        <v>ICTVonline=201855177</v>
      </c>
      <c r="AA5541" s="1">
        <v>201850000</v>
      </c>
      <c r="AB5541" s="1">
        <v>34</v>
      </c>
    </row>
    <row r="5542" spans="1:28" x14ac:dyDescent="0.15">
      <c r="A5542" s="1">
        <v>13744</v>
      </c>
      <c r="L5542" s="1" t="s">
        <v>4843</v>
      </c>
      <c r="N5542" s="1" t="s">
        <v>4844</v>
      </c>
      <c r="P5542" s="1" t="s">
        <v>4903</v>
      </c>
      <c r="Q5542" s="3">
        <v>0</v>
      </c>
      <c r="S5542" s="23" t="s">
        <v>5949</v>
      </c>
      <c r="W5542" s="45" t="str">
        <f>HYPERLINK("http://ictvonline.org/taxonomy/p/taxonomy-history?taxnode_id=201855178","ICTVonline=201855178")</f>
        <v>ICTVonline=201855178</v>
      </c>
      <c r="AA5542" s="1">
        <v>201850000</v>
      </c>
      <c r="AB5542" s="1">
        <v>34</v>
      </c>
    </row>
    <row r="5543" spans="1:28" x14ac:dyDescent="0.15">
      <c r="A5543" s="1">
        <v>13746</v>
      </c>
      <c r="L5543" s="1" t="s">
        <v>4843</v>
      </c>
      <c r="N5543" s="1" t="s">
        <v>4844</v>
      </c>
      <c r="P5543" s="1" t="s">
        <v>4904</v>
      </c>
      <c r="Q5543" s="3">
        <v>0</v>
      </c>
      <c r="S5543" s="23" t="s">
        <v>5949</v>
      </c>
      <c r="W5543" s="45" t="str">
        <f>HYPERLINK("http://ictvonline.org/taxonomy/p/taxonomy-history?taxnode_id=201855179","ICTVonline=201855179")</f>
        <v>ICTVonline=201855179</v>
      </c>
      <c r="AA5543" s="1">
        <v>201850000</v>
      </c>
      <c r="AB5543" s="1">
        <v>34</v>
      </c>
    </row>
    <row r="5544" spans="1:28" x14ac:dyDescent="0.15">
      <c r="A5544" s="1">
        <v>13750</v>
      </c>
      <c r="L5544" s="1" t="s">
        <v>4843</v>
      </c>
      <c r="N5544" s="1" t="s">
        <v>4905</v>
      </c>
      <c r="P5544" s="1" t="s">
        <v>4906</v>
      </c>
      <c r="Q5544" s="3">
        <v>0</v>
      </c>
      <c r="S5544" s="23" t="s">
        <v>5949</v>
      </c>
      <c r="W5544" s="45" t="str">
        <f>HYPERLINK("http://ictvonline.org/taxonomy/p/taxonomy-history?taxnode_id=201855181","ICTVonline=201855181")</f>
        <v>ICTVonline=201855181</v>
      </c>
      <c r="AA5544" s="1">
        <v>201850000</v>
      </c>
      <c r="AB5544" s="1">
        <v>34</v>
      </c>
    </row>
    <row r="5545" spans="1:28" x14ac:dyDescent="0.15">
      <c r="A5545" s="1">
        <v>13752</v>
      </c>
      <c r="L5545" s="1" t="s">
        <v>4843</v>
      </c>
      <c r="N5545" s="1" t="s">
        <v>4905</v>
      </c>
      <c r="P5545" s="1" t="s">
        <v>4907</v>
      </c>
      <c r="Q5545" s="3">
        <v>0</v>
      </c>
      <c r="S5545" s="23" t="s">
        <v>5949</v>
      </c>
      <c r="W5545" s="45" t="str">
        <f>HYPERLINK("http://ictvonline.org/taxonomy/p/taxonomy-history?taxnode_id=201855182","ICTVonline=201855182")</f>
        <v>ICTVonline=201855182</v>
      </c>
      <c r="AA5545" s="1">
        <v>201850000</v>
      </c>
      <c r="AB5545" s="1">
        <v>34</v>
      </c>
    </row>
    <row r="5546" spans="1:28" x14ac:dyDescent="0.15">
      <c r="A5546" s="1">
        <v>13754</v>
      </c>
      <c r="L5546" s="1" t="s">
        <v>4843</v>
      </c>
      <c r="N5546" s="1" t="s">
        <v>4905</v>
      </c>
      <c r="P5546" s="1" t="s">
        <v>4908</v>
      </c>
      <c r="Q5546" s="3">
        <v>0</v>
      </c>
      <c r="S5546" s="23" t="s">
        <v>5949</v>
      </c>
      <c r="W5546" s="45" t="str">
        <f>HYPERLINK("http://ictvonline.org/taxonomy/p/taxonomy-history?taxnode_id=201855183","ICTVonline=201855183")</f>
        <v>ICTVonline=201855183</v>
      </c>
      <c r="AA5546" s="1">
        <v>201850000</v>
      </c>
      <c r="AB5546" s="1">
        <v>34</v>
      </c>
    </row>
    <row r="5547" spans="1:28" x14ac:dyDescent="0.15">
      <c r="A5547" s="1">
        <v>13756</v>
      </c>
      <c r="L5547" s="1" t="s">
        <v>4843</v>
      </c>
      <c r="N5547" s="1" t="s">
        <v>4905</v>
      </c>
      <c r="P5547" s="1" t="s">
        <v>4909</v>
      </c>
      <c r="Q5547" s="3">
        <v>0</v>
      </c>
      <c r="S5547" s="23" t="s">
        <v>5949</v>
      </c>
      <c r="W5547" s="45" t="str">
        <f>HYPERLINK("http://ictvonline.org/taxonomy/p/taxonomy-history?taxnode_id=201855184","ICTVonline=201855184")</f>
        <v>ICTVonline=201855184</v>
      </c>
      <c r="AA5547" s="1">
        <v>201850000</v>
      </c>
      <c r="AB5547" s="1">
        <v>34</v>
      </c>
    </row>
    <row r="5548" spans="1:28" x14ac:dyDescent="0.15">
      <c r="A5548" s="1">
        <v>13758</v>
      </c>
      <c r="L5548" s="1" t="s">
        <v>4843</v>
      </c>
      <c r="N5548" s="1" t="s">
        <v>4905</v>
      </c>
      <c r="P5548" s="1" t="s">
        <v>4910</v>
      </c>
      <c r="Q5548" s="3">
        <v>0</v>
      </c>
      <c r="S5548" s="23" t="s">
        <v>5949</v>
      </c>
      <c r="W5548" s="45" t="str">
        <f>HYPERLINK("http://ictvonline.org/taxonomy/p/taxonomy-history?taxnode_id=201855185","ICTVonline=201855185")</f>
        <v>ICTVonline=201855185</v>
      </c>
      <c r="AA5548" s="1">
        <v>201850000</v>
      </c>
      <c r="AB5548" s="1">
        <v>34</v>
      </c>
    </row>
    <row r="5549" spans="1:28" x14ac:dyDescent="0.15">
      <c r="A5549" s="1">
        <v>13760</v>
      </c>
      <c r="L5549" s="1" t="s">
        <v>4843</v>
      </c>
      <c r="N5549" s="1" t="s">
        <v>4905</v>
      </c>
      <c r="P5549" s="1" t="s">
        <v>4911</v>
      </c>
      <c r="Q5549" s="3">
        <v>0</v>
      </c>
      <c r="S5549" s="23" t="s">
        <v>5949</v>
      </c>
      <c r="W5549" s="45" t="str">
        <f>HYPERLINK("http://ictvonline.org/taxonomy/p/taxonomy-history?taxnode_id=201855186","ICTVonline=201855186")</f>
        <v>ICTVonline=201855186</v>
      </c>
      <c r="AA5549" s="1">
        <v>201850000</v>
      </c>
      <c r="AB5549" s="1">
        <v>34</v>
      </c>
    </row>
    <row r="5550" spans="1:28" x14ac:dyDescent="0.15">
      <c r="A5550" s="1">
        <v>13762</v>
      </c>
      <c r="L5550" s="1" t="s">
        <v>4843</v>
      </c>
      <c r="N5550" s="1" t="s">
        <v>4905</v>
      </c>
      <c r="P5550" s="1" t="s">
        <v>4912</v>
      </c>
      <c r="Q5550" s="3">
        <v>0</v>
      </c>
      <c r="S5550" s="23" t="s">
        <v>5949</v>
      </c>
      <c r="W5550" s="45" t="str">
        <f>HYPERLINK("http://ictvonline.org/taxonomy/p/taxonomy-history?taxnode_id=201855187","ICTVonline=201855187")</f>
        <v>ICTVonline=201855187</v>
      </c>
      <c r="AA5550" s="1">
        <v>201850000</v>
      </c>
      <c r="AB5550" s="1">
        <v>34</v>
      </c>
    </row>
    <row r="5551" spans="1:28" x14ac:dyDescent="0.15">
      <c r="A5551" s="1">
        <v>13764</v>
      </c>
      <c r="L5551" s="1" t="s">
        <v>4843</v>
      </c>
      <c r="N5551" s="1" t="s">
        <v>4905</v>
      </c>
      <c r="P5551" s="1" t="s">
        <v>4913</v>
      </c>
      <c r="Q5551" s="3">
        <v>0</v>
      </c>
      <c r="S5551" s="23" t="s">
        <v>5949</v>
      </c>
      <c r="W5551" s="45" t="str">
        <f>HYPERLINK("http://ictvonline.org/taxonomy/p/taxonomy-history?taxnode_id=201855188","ICTVonline=201855188")</f>
        <v>ICTVonline=201855188</v>
      </c>
      <c r="AA5551" s="1">
        <v>201850000</v>
      </c>
      <c r="AB5551" s="1">
        <v>34</v>
      </c>
    </row>
    <row r="5552" spans="1:28" x14ac:dyDescent="0.15">
      <c r="A5552" s="1">
        <v>13766</v>
      </c>
      <c r="L5552" s="1" t="s">
        <v>4843</v>
      </c>
      <c r="N5552" s="1" t="s">
        <v>4905</v>
      </c>
      <c r="P5552" s="1" t="s">
        <v>4914</v>
      </c>
      <c r="Q5552" s="3">
        <v>1</v>
      </c>
      <c r="S5552" s="23" t="s">
        <v>5949</v>
      </c>
      <c r="W5552" s="45" t="str">
        <f>HYPERLINK("http://ictvonline.org/taxonomy/p/taxonomy-history?taxnode_id=201855189","ICTVonline=201855189")</f>
        <v>ICTVonline=201855189</v>
      </c>
      <c r="AA5552" s="1">
        <v>201850000</v>
      </c>
      <c r="AB5552" s="1">
        <v>34</v>
      </c>
    </row>
    <row r="5553" spans="1:28" x14ac:dyDescent="0.15">
      <c r="A5553" s="1">
        <v>13768</v>
      </c>
      <c r="L5553" s="1" t="s">
        <v>4843</v>
      </c>
      <c r="N5553" s="1" t="s">
        <v>4905</v>
      </c>
      <c r="P5553" s="1" t="s">
        <v>4915</v>
      </c>
      <c r="Q5553" s="3">
        <v>0</v>
      </c>
      <c r="S5553" s="23" t="s">
        <v>5949</v>
      </c>
      <c r="W5553" s="45" t="str">
        <f>HYPERLINK("http://ictvonline.org/taxonomy/p/taxonomy-history?taxnode_id=201855190","ICTVonline=201855190")</f>
        <v>ICTVonline=201855190</v>
      </c>
      <c r="AA5553" s="1">
        <v>201850000</v>
      </c>
      <c r="AB5553" s="1">
        <v>34</v>
      </c>
    </row>
    <row r="5554" spans="1:28" x14ac:dyDescent="0.15">
      <c r="A5554" s="1">
        <v>13770</v>
      </c>
      <c r="L5554" s="1" t="s">
        <v>4843</v>
      </c>
      <c r="N5554" s="1" t="s">
        <v>4905</v>
      </c>
      <c r="P5554" s="1" t="s">
        <v>4916</v>
      </c>
      <c r="Q5554" s="3">
        <v>0</v>
      </c>
      <c r="S5554" s="23" t="s">
        <v>5949</v>
      </c>
      <c r="W5554" s="45" t="str">
        <f>HYPERLINK("http://ictvonline.org/taxonomy/p/taxonomy-history?taxnode_id=201855191","ICTVonline=201855191")</f>
        <v>ICTVonline=201855191</v>
      </c>
      <c r="AA5554" s="1">
        <v>201850000</v>
      </c>
      <c r="AB5554" s="1">
        <v>34</v>
      </c>
    </row>
    <row r="5555" spans="1:28" x14ac:dyDescent="0.15">
      <c r="A5555" s="1">
        <v>13776</v>
      </c>
      <c r="L5555" s="1" t="s">
        <v>4141</v>
      </c>
      <c r="N5555" s="1" t="s">
        <v>4142</v>
      </c>
      <c r="P5555" s="1" t="s">
        <v>4919</v>
      </c>
      <c r="Q5555" s="3">
        <v>1</v>
      </c>
      <c r="S5555" s="23" t="s">
        <v>5949</v>
      </c>
      <c r="W5555" s="45" t="str">
        <f>HYPERLINK("http://ictvonline.org/taxonomy/p/taxonomy-history?taxnode_id=201855323","ICTVonline=201855323")</f>
        <v>ICTVonline=201855323</v>
      </c>
      <c r="AA5555" s="1">
        <v>201850000</v>
      </c>
      <c r="AB5555" s="1">
        <v>34</v>
      </c>
    </row>
    <row r="5556" spans="1:28" x14ac:dyDescent="0.15">
      <c r="A5556" s="1">
        <v>13778</v>
      </c>
      <c r="L5556" s="1" t="s">
        <v>4141</v>
      </c>
      <c r="N5556" s="1" t="s">
        <v>4142</v>
      </c>
      <c r="P5556" s="1" t="s">
        <v>1626</v>
      </c>
      <c r="Q5556" s="3">
        <v>0</v>
      </c>
      <c r="S5556" s="23" t="s">
        <v>5949</v>
      </c>
      <c r="W5556" s="45" t="str">
        <f>HYPERLINK("http://ictvonline.org/taxonomy/p/taxonomy-history?taxnode_id=201855324","ICTVonline=201855324")</f>
        <v>ICTVonline=201855324</v>
      </c>
      <c r="AA5556" s="1">
        <v>201850000</v>
      </c>
      <c r="AB5556" s="1">
        <v>34</v>
      </c>
    </row>
    <row r="5557" spans="1:28" x14ac:dyDescent="0.15">
      <c r="A5557" s="1">
        <v>13784</v>
      </c>
      <c r="L5557" s="1" t="s">
        <v>2619</v>
      </c>
      <c r="N5557" s="1" t="s">
        <v>2620</v>
      </c>
      <c r="P5557" s="1" t="s">
        <v>2621</v>
      </c>
      <c r="Q5557" s="3">
        <v>1</v>
      </c>
      <c r="S5557" s="23" t="s">
        <v>5949</v>
      </c>
      <c r="W5557" s="45" t="str">
        <f>HYPERLINK("http://ictvonline.org/taxonomy/p/taxonomy-history?taxnode_id=201855328","ICTVonline=201855328")</f>
        <v>ICTVonline=201855328</v>
      </c>
      <c r="AA5557" s="1">
        <v>201850000</v>
      </c>
      <c r="AB5557" s="1">
        <v>34</v>
      </c>
    </row>
    <row r="5558" spans="1:28" x14ac:dyDescent="0.15">
      <c r="A5558" s="1">
        <v>13786</v>
      </c>
      <c r="L5558" s="1" t="s">
        <v>2619</v>
      </c>
      <c r="N5558" s="1" t="s">
        <v>2620</v>
      </c>
      <c r="P5558" s="1" t="s">
        <v>2622</v>
      </c>
      <c r="Q5558" s="3">
        <v>0</v>
      </c>
      <c r="S5558" s="23" t="s">
        <v>5949</v>
      </c>
      <c r="W5558" s="45" t="str">
        <f>HYPERLINK("http://ictvonline.org/taxonomy/p/taxonomy-history?taxnode_id=201855329","ICTVonline=201855329")</f>
        <v>ICTVonline=201855329</v>
      </c>
      <c r="AA5558" s="1">
        <v>201850000</v>
      </c>
      <c r="AB5558" s="1">
        <v>34</v>
      </c>
    </row>
    <row r="5559" spans="1:28" x14ac:dyDescent="0.15">
      <c r="A5559" s="1">
        <v>13791</v>
      </c>
      <c r="N5559" s="1" t="s">
        <v>213</v>
      </c>
      <c r="P5559" s="1" t="s">
        <v>214</v>
      </c>
      <c r="Q5559" s="3">
        <v>1</v>
      </c>
      <c r="S5559" s="23" t="s">
        <v>5949</v>
      </c>
      <c r="W5559" s="45" t="str">
        <f>HYPERLINK("http://ictvonline.org/taxonomy/p/taxonomy-history?taxnode_id=201855350","ICTVonline=201855350")</f>
        <v>ICTVonline=201855350</v>
      </c>
      <c r="AA5559" s="1">
        <v>201850000</v>
      </c>
      <c r="AB5559" s="1">
        <v>34</v>
      </c>
    </row>
    <row r="5560" spans="1:28" x14ac:dyDescent="0.15">
      <c r="A5560" s="1">
        <v>13795</v>
      </c>
      <c r="N5560" s="1" t="s">
        <v>405</v>
      </c>
      <c r="P5560" s="1" t="s">
        <v>406</v>
      </c>
      <c r="Q5560" s="3">
        <v>1</v>
      </c>
      <c r="S5560" s="23" t="s">
        <v>5949</v>
      </c>
      <c r="W5560" s="45" t="str">
        <f>HYPERLINK("http://ictvonline.org/taxonomy/p/taxonomy-history?taxnode_id=201855364","ICTVonline=201855364")</f>
        <v>ICTVonline=201855364</v>
      </c>
      <c r="AA5560" s="1">
        <v>201850000</v>
      </c>
      <c r="AB5560" s="1">
        <v>34</v>
      </c>
    </row>
    <row r="5561" spans="1:28" x14ac:dyDescent="0.15">
      <c r="A5561" s="1">
        <v>13799</v>
      </c>
      <c r="N5561" s="1" t="s">
        <v>1007</v>
      </c>
      <c r="P5561" s="1" t="s">
        <v>1008</v>
      </c>
      <c r="Q5561" s="3">
        <v>1</v>
      </c>
      <c r="S5561" s="23" t="s">
        <v>5949</v>
      </c>
      <c r="W5561" s="45" t="str">
        <f>HYPERLINK("http://ictvonline.org/taxonomy/p/taxonomy-history?taxnode_id=201855366","ICTVonline=201855366")</f>
        <v>ICTVonline=201855366</v>
      </c>
      <c r="AA5561" s="1">
        <v>201850000</v>
      </c>
      <c r="AB5561" s="1">
        <v>34</v>
      </c>
    </row>
  </sheetData>
  <sortState ref="J1:Q2474">
    <sortCondition ref="J2:J2474"/>
    <sortCondition ref="L2:L2474"/>
    <sortCondition ref="M2:M2474"/>
    <sortCondition ref="N2:N2474"/>
    <sortCondition ref="P2:P2474"/>
  </sortState>
  <phoneticPr fontId="1" type="noConversion"/>
  <conditionalFormatting sqref="Q1:R1048576">
    <cfRule type="cellIs" dxfId="3" priority="15" stopIfTrue="1" operator="equal">
      <formula>1</formula>
    </cfRule>
  </conditionalFormatting>
  <conditionalFormatting sqref="B1:K1 J1:R1048576">
    <cfRule type="expression" dxfId="2" priority="11" stopIfTrue="1">
      <formula>B1="Unassigned"</formula>
    </cfRule>
  </conditionalFormatting>
  <conditionalFormatting sqref="A1:XFD1048576">
    <cfRule type="cellIs" dxfId="1" priority="10" stopIfTrue="1" operator="equal">
      <formula>"NULL"</formula>
    </cfRule>
  </conditionalFormatting>
  <conditionalFormatting sqref="U1 V1720:V65533 V2:V1718">
    <cfRule type="cellIs" dxfId="0" priority="9" stopIfTrue="1" operator="equal">
      <formula>29</formula>
    </cfRule>
  </conditionalFormatting>
  <printOptions gridLines="1"/>
  <pageMargins left="0.75" right="0.75" top="1" bottom="1" header="0.5" footer="0.5"/>
  <pageSetup scale="54" fitToHeight="1000"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Version</vt:lpstr>
      <vt:lpstr>Column Definitions</vt:lpstr>
      <vt:lpstr>ICTV2018 M Species List 34b</vt:lpstr>
      <vt:lpstr>'ICTV2018 M Species List 34b'!Print_Titles</vt:lpstr>
    </vt:vector>
  </TitlesOfParts>
  <Company>UAB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Curtis Hendrickson</dc:creator>
  <cp:lastModifiedBy>Curtis Hendrickson</cp:lastModifiedBy>
  <cp:lastPrinted>2009-10-04T23:39:18Z</cp:lastPrinted>
  <dcterms:created xsi:type="dcterms:W3CDTF">2009-08-13T19:43:48Z</dcterms:created>
  <dcterms:modified xsi:type="dcterms:W3CDTF">2019-02-28T09:34:08Z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b3e54a7d-6175-4c77-9337-59c65cfd6551</vt:lpwstr>
  </property>
</Properties>
</file>